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Evaluation'!$A$10:$H$39</definedName>
    <definedName hidden="1" localSheetId="0" name="Z_A3A4FA85_8131_4CF8_80F2_6DCAF3F2D23C_.wvu.FilterData">'Group Heuristic Evaluation'!$A$10:$H$39</definedName>
    <definedName hidden="1" localSheetId="0" name="Z_39ED7C02_D17E_4F73_90A6_B9A0661EEA69_.wvu.FilterData">'Group Heuristic Evaluation'!$A$10:$H$39</definedName>
  </definedNames>
  <calcPr/>
  <customWorkbookViews>
    <customWorkbookView activeSheetId="0" maximized="1" windowHeight="0" windowWidth="0" guid="{39ED7C02-D17E-4F73-90A6-B9A0661EEA69}" name="Group by Task "/>
    <customWorkbookView activeSheetId="0" maximized="1" windowHeight="0" windowWidth="0" guid="{A3A4FA85-8131-4CF8-80F2-6DCAF3F2D23C}" name="Group by Task"/>
  </customWorkbookViews>
</workbook>
</file>

<file path=xl/sharedStrings.xml><?xml version="1.0" encoding="utf-8"?>
<sst xmlns="http://schemas.openxmlformats.org/spreadsheetml/2006/main" count="224" uniqueCount="157">
  <si>
    <t xml:space="preserve">Prototype Description: </t>
  </si>
  <si>
    <t>LOCKIN is an app that combines social and monetary incentives to limit screen time through competing with and staking money against other people.</t>
  </si>
  <si>
    <t>Simple Task</t>
  </si>
  <si>
    <t>Join a Pre-Set competition with your login</t>
  </si>
  <si>
    <t>Moderate Task</t>
  </si>
  <si>
    <t>Post your daliy stats to the competition feed and compare analystics with friends</t>
  </si>
  <si>
    <t>Complex Task</t>
  </si>
  <si>
    <t>Make a custom competition; defining your preferred goals, stakes, and members; sharing invitations to the competition</t>
  </si>
  <si>
    <t>*attach images here if helpful</t>
  </si>
  <si>
    <t>Problem #</t>
  </si>
  <si>
    <t xml:space="preserve">Heuristic </t>
  </si>
  <si>
    <t>Task</t>
  </si>
  <si>
    <t>Severity</t>
  </si>
  <si>
    <t>Description</t>
  </si>
  <si>
    <t>Rationale</t>
  </si>
  <si>
    <t>Fix</t>
  </si>
  <si>
    <t>Found by</t>
  </si>
  <si>
    <t>H1: Visibility of System Status</t>
  </si>
  <si>
    <t>3. Complex Task</t>
  </si>
  <si>
    <t xml:space="preserve">When i am customizing my competition and selecting goals and durations there is no indication that i have succesfully selected that component after i press it 
i understand this is probably one of the buttons you didn't implement yet though </t>
  </si>
  <si>
    <t xml:space="preserve">users will have to remember themselves what they set/if they set anything in the first place </t>
  </si>
  <si>
    <t xml:space="preserve">highlight the selected element of the custom competition they are creating, could even be this gray color that shows up when you hover over it in figma </t>
  </si>
  <si>
    <t>B, A, C, D</t>
  </si>
  <si>
    <t>H4: Consistency &amp; Standards</t>
  </si>
  <si>
    <t xml:space="preserve">the back button in the second screen after I select harper as invited to my competition goes back to the screen before, this "uninvites" harper instead of going back to the previous customizing screen like I would think that back button would do </t>
  </si>
  <si>
    <t xml:space="preserve">now back button in the corner has two meaning to the user, the first is going back to the prev page but here it means undoing an invite. </t>
  </si>
  <si>
    <t>I'm sure this was just a wonky figma implementation, but I would recommend just making invite button toggle betwee invite anf univite and make sure the back button links to the prev customization page</t>
  </si>
  <si>
    <t>B, D</t>
  </si>
  <si>
    <t>H7: Flexibility &amp; Efficiency of Use</t>
  </si>
  <si>
    <t>2. Moderate Task</t>
  </si>
  <si>
    <t xml:space="preserve">I got confused what left: 3/4 meant on the top of the leaderboard </t>
  </si>
  <si>
    <t xml:space="preserve">user is not immediately familiar with what that might refer to </t>
  </si>
  <si>
    <t xml:space="preserve">either add "players left" or maybe leave the label as is and change it to 3 out of 4 on both screens that would be clearer than just a fraction which means the same but just takes extra brain power to immediately connect it </t>
  </si>
  <si>
    <t>C, D, A</t>
  </si>
  <si>
    <t>5. Extra Violations</t>
  </si>
  <si>
    <t xml:space="preserve"> want to know the daily average screen time spent on my most used apps along with tik tok and messages in my analytics </t>
  </si>
  <si>
    <t>users can understand how their daily averages can compare on high use apps versus other apps</t>
  </si>
  <si>
    <t>add in average daily use metric above the graph for messages</t>
  </si>
  <si>
    <t>D</t>
  </si>
  <si>
    <t xml:space="preserve">want to know average daily  screen time usage across phone in general in the analytics portion </t>
  </si>
  <si>
    <t xml:space="preserve">I think that's a really digestible and translatable metric for users </t>
  </si>
  <si>
    <t xml:space="preserve">add in average daily phone use metric above the graph for this week </t>
  </si>
  <si>
    <t>H3: User Control &amp; Freedom</t>
  </si>
  <si>
    <t>1. Simple Task</t>
  </si>
  <si>
    <t>the back button has unpredictable behavior 
does the back button here make you drop out of the competition or just takes you back to the previous page unclear</t>
  </si>
  <si>
    <t xml:space="preserve">unclear what this action might do for their competition status </t>
  </si>
  <si>
    <t>add a specific dropout button or don't have a back button, cause the one-liner says "drop screentime or lose your $15" 
maybe the back button links back to the full competition page instead</t>
  </si>
  <si>
    <t>A, B, D</t>
  </si>
  <si>
    <t>H5: Error Prevention</t>
  </si>
  <si>
    <t>I would make it more explicit to the user that once they press the join for $15 button that they will not be able to get their money back or if you are letting users get money back make it clear that pressing join will still allow them to refund their money if they drop out</t>
  </si>
  <si>
    <t xml:space="preserve">want to prevent users from joining competitions paying money without realizing they won't get their money back and have no way of fixing that error. </t>
  </si>
  <si>
    <t xml:space="preserve">succinct warning description above the join for $15 button that explicitly explains the situtation </t>
  </si>
  <si>
    <t xml:space="preserve">It should be more obvious to me that this is the page I'm seeing because i've succesfully  joined the competition </t>
  </si>
  <si>
    <t xml:space="preserve">need to give the user information in a logical and relevant order </t>
  </si>
  <si>
    <t xml:space="preserve">I like the phrases used here but maybe it's as simple as switching the title and subtitle here for clarity, gets the correct information across to the user faster </t>
  </si>
  <si>
    <t>could have this be screentime spent for more clarity and more efficient recognition for the users</t>
  </si>
  <si>
    <t xml:space="preserve">user shouldnt have to wonder what time spent should be referring too </t>
  </si>
  <si>
    <t xml:space="preserve">add screentime instead of time spent </t>
  </si>
  <si>
    <t>H2: Match b/w System &amp; World</t>
  </si>
  <si>
    <t xml:space="preserve">be careful using green and red here to indicate if you're higher lower here, we talked about green and red meaning different things cross culturally in design </t>
  </si>
  <si>
    <t xml:space="preserve">the data visualization should match the users language and real world conventions, which with color could vary </t>
  </si>
  <si>
    <t xml:space="preserve">maybe pick diff colors, i think there's an alternate suggestion the lecture slides </t>
  </si>
  <si>
    <t>D, C</t>
  </si>
  <si>
    <t>0:47 out of what, what's the end bound for this scale. is it measuring per day (out of 3 hours) or out of the 4 days total (out of 12 hours)
when you go to compare it compares results from today only so maybe it should reflect that it is 0;47 min out of 3 hours</t>
  </si>
  <si>
    <t xml:space="preserve">make these analytics more interpretable right off the bat without making users think too hard increasing efficiency on the app </t>
  </si>
  <si>
    <t xml:space="preserve">maybe its simple and just add out of 12 hours or maybe you can click off into another screen that shows the layout per day </t>
  </si>
  <si>
    <t>D, C, A</t>
  </si>
  <si>
    <t xml:space="preserve">when you scroll through analytics to me these should be two different sections: general analytics and then breakdown per app. these should be labeled as such so when you scrolling through you know what you're looking at </t>
  </si>
  <si>
    <t xml:space="preserve">keep users moving through these statistics quickly by labeling sections correclty </t>
  </si>
  <si>
    <t xml:space="preserve">add a subtitle/header here that breaks up this a bit more from the general analytics to specific app breakdown </t>
  </si>
  <si>
    <t xml:space="preserve">no back button when creating a custom competition </t>
  </si>
  <si>
    <t xml:space="preserve">users need an emergency exit button when they make a mistake </t>
  </si>
  <si>
    <t xml:space="preserve">add back button </t>
  </si>
  <si>
    <t>A, D</t>
  </si>
  <si>
    <t>H11: Accessible Design</t>
  </si>
  <si>
    <t>4. All Tasks</t>
  </si>
  <si>
    <t xml:space="preserve">although I love the color scheme, I think it's very harmonious. The red and pink together like on top of each other, could make it hard for folks with color deficiencies to see the differences. </t>
  </si>
  <si>
    <t xml:space="preserve">because there are many elements using these two colors together, it would be hard for someone with color deficiences to use the app at all </t>
  </si>
  <si>
    <t xml:space="preserve">pick colors farther apart in the color wheel that are still harmonious or add black/ white outlines on on inner elements </t>
  </si>
  <si>
    <t>B, D, C</t>
  </si>
  <si>
    <t>H10: Help &amp; Documentation</t>
  </si>
  <si>
    <t xml:space="preserve">I think the titles for the pages before and after this do a great job of documenting what step of the process the user is in when joining a competition but I think this page could do a better job. </t>
  </si>
  <si>
    <t xml:space="preserve">give user the concrete step they must perform on this screen to complete the task </t>
  </si>
  <si>
    <t>instead of compete the header could say join the competition 
go button is not descriptive enough maybe say "start" instead</t>
  </si>
  <si>
    <t>H12: Value Alignment &amp; Inclusion</t>
  </si>
  <si>
    <t xml:space="preserve">Could you create/join a game that doesn't involve actual payouts and gambling? Could leave out a large user population that would want to compete with friends but is not interested or can't afford to gamble their money </t>
  </si>
  <si>
    <t xml:space="preserve">the betting and gambling leaves out a set of diverse users from being able to benefit from dropping their screetime </t>
  </si>
  <si>
    <t xml:space="preserve">give users the option to leave money out of the competition, might defeat the purpose but something to think about </t>
  </si>
  <si>
    <t>B, D, A</t>
  </si>
  <si>
    <t>H9: Help Users with Errors</t>
  </si>
  <si>
    <t xml:space="preserve">if I accidentally join a competition, regardless of what kind of error prevention messages there are on the page before, is there any plan to implement a way to get my money back and exit the competition from this page that follows the join page </t>
  </si>
  <si>
    <t>help users diagnose and fix their errors</t>
  </si>
  <si>
    <t xml:space="preserve">add a little button that signals an alert pop to tell the user how to drop out of the competition </t>
  </si>
  <si>
    <t>H8: Aesthetic &amp; Minimalist Design</t>
  </si>
  <si>
    <t>All these graphs in a scroll and not being broken up by headers  blocks is a bit hard to parse upon first glance</t>
  </si>
  <si>
    <t xml:space="preserve">make the information more digestable for the user without making it too busy </t>
  </si>
  <si>
    <t xml:space="preserve">headers above each graph with a color block background around them to logically split up the information </t>
  </si>
  <si>
    <t>H6: Recognition not Recall</t>
  </si>
  <si>
    <t xml:space="preserve">on this page it would be helpful to have a quick couple word description of the current game to avoid the user having click one more page into  remember the logistics of the competition: helping them quickly asses status without using screen time  </t>
  </si>
  <si>
    <t xml:space="preserve">minimize the user's memory load </t>
  </si>
  <si>
    <t xml:space="preserve">under current game add screen limit: 3 hours / day </t>
  </si>
  <si>
    <t>A, D, B</t>
  </si>
  <si>
    <t xml:space="preserve">when I'm on my profile in any other app one key indicator is a profile photo, seems like you already have users upload profile photos for competitions so would make sense that your profile would have a profile photo. I think it would help anchor the user immediately when they are first navigating around the app  </t>
  </si>
  <si>
    <t xml:space="preserve">profile photos in your profile are a common concept that is familiar and conventional to users </t>
  </si>
  <si>
    <t xml:space="preserve">add profile photo at the top of the profile dashboard </t>
  </si>
  <si>
    <t>D, B, C</t>
  </si>
  <si>
    <t>No warnings for "betting" money.</t>
  </si>
  <si>
    <t xml:space="preserve">With language such as "pot" and "payout," it is clear that the game is trying to promote some monetary incentives. As such, it is necessary for the game to have a warning to let the player know that betting this type of money and doing this game could be dangerous to their financial health. If it does not have such a thing, it actually could violate a lot of US laws, would not be approved by app stores' Terms and Services, and therefore be banned from the app stores. </t>
  </si>
  <si>
    <t xml:space="preserve">Need to add terms and conditions sign form, with a warning screen before the player even gets to the first part of the home screen. Needs constant reminders to let the player know that betting money excessively is not good. Should include the gambling hotline. </t>
  </si>
  <si>
    <t>A</t>
  </si>
  <si>
    <t xml:space="preserve">I don't know where I am located in the app, even the screen title is different from the one in the navigation bar.   </t>
  </si>
  <si>
    <t>Absence of indicators of the location in app where users are might be difficult for them to navigate to other sections in the app</t>
  </si>
  <si>
    <t>App should provide indicators, like highlighted menu items or color changed icons + ideally match the screen title to that of the button leading to it.</t>
  </si>
  <si>
    <t>C, B</t>
  </si>
  <si>
    <t xml:space="preserve">Honestly, the wording "live payout" is rather confusing. Does that mean I can drop out of the competition and take the life payout money whenever?  </t>
  </si>
  <si>
    <t xml:space="preserve">The wording suggests that the player can take the money that they currently have whenever. In monetary games, we use the word payout to signify how much money the player is making at the time. These games usually have the ability to allow the player to leave whenever. Additionally in games such as blackjack, poker, and roulette, payout is usually the ratio of the money put in vs. the money earned. </t>
  </si>
  <si>
    <t>Change the wording from "live payout" to something that tells the player that they don't actually have the money right now but this is the money they will earn (e.g. "forecasted winnings").</t>
  </si>
  <si>
    <t xml:space="preserve">Because the app is already pretty complex and is a game, I think a help screen or a tutorial screen is required for each task flow. </t>
  </si>
  <si>
    <t xml:space="preserve">Users who don't consistently use the app may forget specificities about the app's functions, how the game works, how to win and lose (i.e. different conditions). They might join a competition, close the app for a couple days, and then come back to it and see how they are doing in the competition and check on the rules. </t>
  </si>
  <si>
    <t xml:space="preserve">Help icon or info icon on each screen. </t>
  </si>
  <si>
    <t xml:space="preserve">Text on Home screen of about the time, days left, spot left on Friends and randoms competitions bubbles is very small. Will be hard to read on the phone. </t>
  </si>
  <si>
    <t xml:space="preserve">User will comprehend the information on screen slower, the efficiency - time it takes to join a competition will be longer. This could lead to frustrations with the app. </t>
  </si>
  <si>
    <t>Make the text larger and more eye-catching</t>
  </si>
  <si>
    <t>A, B, C</t>
  </si>
  <si>
    <t>The "compete" tab does not allow to compete, in fact, there is basically no competition of stats on that screen, it is all user progress in a specific competition</t>
  </si>
  <si>
    <t>User might go in expecting comparison but find none.</t>
  </si>
  <si>
    <t>Change the tab name in the Nav-bar to something like "progress"</t>
  </si>
  <si>
    <t>C</t>
  </si>
  <si>
    <t>Users must remember previous standings when checking the competition feed</t>
  </si>
  <si>
    <t>Past performance is not displayed, and therefore may be hard to remember</t>
  </si>
  <si>
    <t>Display historical standings to reduce the need for users to remember more</t>
  </si>
  <si>
    <t>B</t>
  </si>
  <si>
    <t>Too much white empty space on the screen + the code entry bar is too small.</t>
  </si>
  <si>
    <t>Less comfort of use.</t>
  </si>
  <si>
    <t>Make the bar bigger and possibly center components vertically</t>
  </si>
  <si>
    <t>Back button does not work on Compete Screen when viewing friends competition from Home screen, only way to return back to home screen is to click on Profile and Compete then Click on Home again</t>
  </si>
  <si>
    <t>Can't go back to Home from Friend Competition screen is really frustrating, if I don't want to do a specific friends competiton, I need an easy way to go back to Home</t>
  </si>
  <si>
    <t>Make back button work, Home button on bottom dashboard should bring you back to main home screen</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</si>
  <si>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</si>
  <si>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</si>
  <si>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</si>
  <si>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</si>
  <si>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</si>
  <si>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</si>
  <si>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</si>
  <si>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</si>
  <si>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</si>
  <si>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</si>
  <si>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 xml:space="preserve">Evaluator A </t>
  </si>
  <si>
    <t>Evaluator B</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</si>
  <si>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</si>
  <si>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</si>
  <si>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</si>
  <si>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</si>
  <si>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</si>
  <si>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 xml:space="preserve">The LockIn medium-fidelity prototype demonstrates a commendable approach to supporting users’ goal of reducing screen time through a simple, efficient UI that minimizes feature overload. The streamlined design aligns well with the app's purpose; however, several key improvements could enhance user experience and accessibility. Primarily, the prototype could benefit from clearer labeling in the analytics and competition dashboards, helping users understand metrics without unnecessary effort or brain power. 
Additionally, it’s essential to ensure back buttons are fully functional and direct users intuitively through the app, as missing or confusing navigation can frustrate users and reduce engagement. 
Another suggestion includes tracking payouts, money won, and credits within the profile, adding depth to the user experience. The prototype should also prioritize consistency and accessibility. Unlabeled elements, inconsistent color cues (such as the use of red in progress bars without clear meaning), and excessive whitespace disrupt usability and make navigation less intuitive. Enhancing clarity through consistent terminology, adding loading indicators, and revising elements certain terminology could build user confidence and reduce friction. 
For added inclusivity and to prevent unintended associations with gambling, the app should have a terms and conditions sign form, with a warning screen before the player even gets to the first part of the home screen. Needs constant reminders to let the player know that betting money excessively is not good. Perchance should include the gambling hotline, set limitations on losses, and track incremental progress. Ultimately, focusing on clarity, consistency, and inclusivity will create a polished, user-friendly interface that better supports users in achieving their screen-time goals with confidence and satisfaction.
</t>
  </si>
  <si>
    <t xml:space="preserve">
</t>
  </si>
</sst>
</file>

<file path=xl/styles.xml><?xml version="1.0" encoding="utf-8"?>
<styleSheet xmlns="http://schemas.openxmlformats.org/spreadsheetml/2006/main" xmlns:x14ac="http://schemas.microsoft.com/office/spreadsheetml/2009/9/ac" xmlns:mc="http://schemas.openxmlformats.org/markup-compatibility/2006">
  <fonts count="21">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753800"/>
      <name val="Roboto"/>
    </font>
    <font>
      <color theme="1"/>
      <name val="Arial"/>
    </font>
    <font>
      <color rgb="FFB10202"/>
      <name val="Roboto"/>
    </font>
    <font>
      <color rgb="FF473821"/>
      <name val="Roboto"/>
    </font>
    <font>
      <color rgb="FF0A53A8"/>
      <name val="Roboto"/>
    </font>
    <font>
      <color rgb="FFFFCFC9"/>
      <name val="Roboto"/>
    </font>
    <font>
      <sz val="11.0"/>
      <color theme="1"/>
      <name val="Arial"/>
    </font>
    <font>
      <color theme="1"/>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
      <i/>
      <sz val="10.0"/>
      <color theme="1"/>
      <name val="Arial"/>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17">
    <border/>
    <border>
      <left style="thin">
        <color rgb="FFFFFFFF"/>
      </left>
      <right style="thin">
        <color rgb="FFFFFFFF"/>
      </right>
      <top style="thin">
        <color rgb="FFFFFFFF"/>
      </top>
      <bottom style="thin">
        <color rgb="FFFFFFFF"/>
      </bottom>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FFFFF"/>
      </left>
      <right style="thin">
        <color rgb="FFFFFFFF"/>
      </right>
      <top style="thin">
        <color rgb="FFF6F8F9"/>
      </top>
      <bottom style="thin">
        <color rgb="FFFFFFFF"/>
      </bottom>
    </border>
    <border>
      <left style="thin">
        <color rgb="FFF6F8F9"/>
      </left>
      <right style="thin">
        <color rgb="FFFFFFFF"/>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8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1" fillId="0" fontId="2" numFmtId="0" xfId="0" applyBorder="1" applyFont="1"/>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1" numFmtId="0" xfId="0" applyAlignment="1" applyFont="1">
      <alignment horizontal="left" readingOrder="0" shrinkToFit="0"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1"/>
    </xf>
    <xf borderId="1" fillId="0" fontId="2" numFmtId="0" xfId="0" applyAlignment="1" applyBorder="1" applyFont="1">
      <alignment horizontal="left" readingOrder="0" shrinkToFit="0" vertical="center" wrapText="1"/>
    </xf>
    <xf borderId="4" fillId="0" fontId="2" numFmtId="0" xfId="0" applyAlignment="1" applyBorder="1" applyFont="1">
      <alignment readingOrder="0" shrinkToFit="0" vertical="center" wrapText="0"/>
    </xf>
    <xf borderId="1" fillId="3" fontId="4" numFmtId="0" xfId="0" applyAlignment="1" applyBorder="1" applyFill="1" applyFont="1">
      <alignment shrinkToFit="0" vertical="center" wrapText="0"/>
    </xf>
    <xf borderId="1" fillId="3" fontId="4" numFmtId="0" xfId="0" applyAlignment="1" applyBorder="1" applyFont="1">
      <alignment shrinkToFit="0" vertical="center" wrapText="0"/>
    </xf>
    <xf borderId="1" fillId="3" fontId="5" numFmtId="0" xfId="0" applyAlignment="1" applyBorder="1" applyFont="1">
      <alignment horizontal="right" shrinkToFit="0" vertical="center" wrapText="0"/>
    </xf>
    <xf borderId="1" fillId="3" fontId="4" numFmtId="49" xfId="0" applyAlignment="1" applyBorder="1" applyFont="1" applyNumberFormat="1">
      <alignment shrinkToFit="0" vertical="center" wrapText="1"/>
    </xf>
    <xf borderId="1" fillId="3" fontId="4" numFmtId="0" xfId="0" applyAlignment="1" applyBorder="1" applyFont="1">
      <alignment shrinkToFit="0" vertical="center" wrapText="1"/>
    </xf>
    <xf borderId="1" fillId="3" fontId="6" numFmtId="0" xfId="0" applyAlignment="1" applyBorder="1" applyFont="1">
      <alignment readingOrder="0" shrinkToFit="0" vertical="center" wrapText="0"/>
    </xf>
    <xf borderId="5" fillId="0" fontId="2" numFmtId="0" xfId="0" applyAlignment="1" applyBorder="1" applyFont="1">
      <alignment readingOrder="0" shrinkToFit="0" vertical="center" wrapText="0"/>
    </xf>
    <xf borderId="6" fillId="4" fontId="4" numFmtId="0" xfId="0" applyAlignment="1" applyBorder="1" applyFill="1" applyFont="1">
      <alignment shrinkToFit="0" vertical="center" wrapText="0"/>
    </xf>
    <xf borderId="6" fillId="4" fontId="7" numFmtId="0" xfId="0" applyAlignment="1" applyBorder="1" applyFont="1">
      <alignment horizontal="right" shrinkToFit="0" vertical="center" wrapText="0"/>
    </xf>
    <xf borderId="6" fillId="4" fontId="4" numFmtId="49" xfId="0" applyAlignment="1" applyBorder="1" applyFont="1" applyNumberFormat="1">
      <alignment shrinkToFit="0" vertical="center" wrapText="1"/>
    </xf>
    <xf borderId="6" fillId="4" fontId="4" numFmtId="0" xfId="0" applyAlignment="1" applyBorder="1" applyFont="1">
      <alignment shrinkToFit="0" vertical="center" wrapText="1"/>
    </xf>
    <xf borderId="1" fillId="4" fontId="6" numFmtId="0" xfId="0" applyAlignment="1" applyBorder="1" applyFont="1">
      <alignment readingOrder="0" shrinkToFit="0" vertical="center" wrapText="0"/>
    </xf>
    <xf borderId="1" fillId="3" fontId="8" numFmtId="0" xfId="0" applyAlignment="1" applyBorder="1" applyFont="1">
      <alignment horizontal="right" shrinkToFit="0" vertical="center" wrapText="0"/>
    </xf>
    <xf borderId="6" fillId="4" fontId="5" numFmtId="0" xfId="0" applyAlignment="1" applyBorder="1" applyFont="1">
      <alignment horizontal="right" shrinkToFit="0" vertical="center" wrapText="0"/>
    </xf>
    <xf borderId="6" fillId="4" fontId="5" numFmtId="0" xfId="0" applyAlignment="1" applyBorder="1" applyFont="1">
      <alignment horizontal="right" readingOrder="0" shrinkToFit="0" vertical="center" wrapText="0"/>
    </xf>
    <xf borderId="6" fillId="4" fontId="4" numFmtId="49" xfId="0" applyAlignment="1" applyBorder="1" applyFont="1" applyNumberFormat="1">
      <alignment readingOrder="0" shrinkToFit="0" vertical="center" wrapText="1"/>
    </xf>
    <xf borderId="1" fillId="3" fontId="7" numFmtId="0" xfId="0" applyAlignment="1" applyBorder="1" applyFont="1">
      <alignment horizontal="right" shrinkToFit="0" vertical="center" wrapText="0"/>
    </xf>
    <xf borderId="6" fillId="4" fontId="9" numFmtId="0" xfId="0" applyAlignment="1" applyBorder="1" applyFont="1">
      <alignment horizontal="right" shrinkToFit="0" vertical="center" wrapText="0"/>
    </xf>
    <xf borderId="1" fillId="3" fontId="9" numFmtId="0" xfId="0" applyAlignment="1" applyBorder="1" applyFont="1">
      <alignment horizontal="right" shrinkToFit="0" vertical="center" wrapText="0"/>
    </xf>
    <xf borderId="6" fillId="4" fontId="8" numFmtId="0" xfId="0" applyAlignment="1" applyBorder="1" applyFont="1">
      <alignment horizontal="right" shrinkToFit="0" vertical="center" wrapText="0"/>
    </xf>
    <xf borderId="1" fillId="3" fontId="8" numFmtId="0" xfId="0" applyAlignment="1" applyBorder="1" applyFont="1">
      <alignment horizontal="right" shrinkToFit="0" vertical="center" wrapText="0"/>
    </xf>
    <xf borderId="1" fillId="3" fontId="4" numFmtId="49" xfId="0" applyAlignment="1" applyBorder="1" applyFont="1" applyNumberFormat="1">
      <alignment readingOrder="0" shrinkToFit="0" vertical="center" wrapText="1"/>
    </xf>
    <xf borderId="6" fillId="4" fontId="5" numFmtId="0" xfId="0" applyAlignment="1" applyBorder="1" applyFont="1">
      <alignment horizontal="right" shrinkToFit="0" vertical="center" wrapText="0"/>
    </xf>
    <xf borderId="1" fillId="3" fontId="7" numFmtId="0" xfId="0" applyAlignment="1" applyBorder="1" applyFont="1">
      <alignment horizontal="right" readingOrder="0" shrinkToFit="0" vertical="center" wrapText="0"/>
    </xf>
    <xf borderId="1" fillId="3" fontId="4" numFmtId="0" xfId="0" applyAlignment="1" applyBorder="1" applyFont="1">
      <alignment readingOrder="0" shrinkToFit="0" vertical="center" wrapText="1"/>
    </xf>
    <xf borderId="1" fillId="3" fontId="8" numFmtId="0" xfId="0" applyAlignment="1" applyBorder="1" applyFont="1">
      <alignment horizontal="right" readingOrder="0" shrinkToFit="0" vertical="center" wrapText="0"/>
    </xf>
    <xf borderId="1" fillId="3" fontId="4" numFmtId="0" xfId="0" applyAlignment="1" applyBorder="1" applyFont="1">
      <alignment horizontal="right" shrinkToFit="0" vertical="center" wrapText="0"/>
    </xf>
    <xf borderId="1" fillId="3" fontId="10" numFmtId="0" xfId="0" applyAlignment="1" applyBorder="1" applyFont="1">
      <alignment horizontal="right" readingOrder="0" shrinkToFit="0" vertical="center" wrapText="0"/>
    </xf>
    <xf borderId="1" fillId="0" fontId="6" numFmtId="0" xfId="0" applyAlignment="1" applyBorder="1" applyFont="1">
      <alignment readingOrder="0" shrinkToFit="0" vertical="center" wrapText="0"/>
    </xf>
    <xf borderId="0" fillId="0" fontId="6" numFmtId="0" xfId="0" applyAlignment="1" applyFont="1">
      <alignment vertical="bottom"/>
    </xf>
    <xf borderId="7" fillId="3" fontId="4" numFmtId="0" xfId="0" applyAlignment="1" applyBorder="1" applyFont="1">
      <alignment shrinkToFit="0" vertical="center" wrapText="0"/>
    </xf>
    <xf borderId="7" fillId="3" fontId="10" numFmtId="0" xfId="0" applyAlignment="1" applyBorder="1" applyFont="1">
      <alignment horizontal="right" shrinkToFit="0" vertical="center" wrapText="0"/>
    </xf>
    <xf borderId="7" fillId="3" fontId="4" numFmtId="49" xfId="0" applyAlignment="1" applyBorder="1" applyFont="1" applyNumberFormat="1">
      <alignment shrinkToFit="0" vertical="center" wrapText="1"/>
    </xf>
    <xf borderId="7" fillId="3" fontId="11" numFmtId="49" xfId="0" applyAlignment="1" applyBorder="1" applyFont="1" applyNumberFormat="1">
      <alignment shrinkToFit="0" vertical="center" wrapText="1"/>
    </xf>
    <xf borderId="1" fillId="0" fontId="2" numFmtId="0" xfId="0" applyAlignment="1" applyBorder="1" applyFont="1">
      <alignment readingOrder="0" shrinkToFit="0" vertical="center" wrapText="0"/>
    </xf>
    <xf borderId="5" fillId="4" fontId="4" numFmtId="0" xfId="0" applyAlignment="1" applyBorder="1" applyFont="1">
      <alignment horizontal="right" shrinkToFit="0" vertical="center" wrapText="0"/>
    </xf>
    <xf borderId="8" fillId="4" fontId="4" numFmtId="0" xfId="0" applyAlignment="1" applyBorder="1" applyFont="1">
      <alignment shrinkToFit="0" vertical="center" wrapText="1"/>
    </xf>
    <xf borderId="1" fillId="4" fontId="4" numFmtId="0" xfId="0" applyAlignment="1" applyBorder="1" applyFont="1">
      <alignment shrinkToFit="0" vertical="center" wrapText="0"/>
    </xf>
    <xf borderId="4" fillId="3" fontId="4" numFmtId="0" xfId="0" applyAlignment="1" applyBorder="1" applyFont="1">
      <alignment horizontal="right" shrinkToFit="0" vertical="center" wrapText="0"/>
    </xf>
    <xf borderId="1" fillId="3" fontId="4" numFmtId="0" xfId="0" applyAlignment="1" applyBorder="1" applyFont="1">
      <alignment shrinkToFit="0" vertical="center" wrapText="0"/>
    </xf>
    <xf borderId="1" fillId="4" fontId="4" numFmtId="0" xfId="0" applyAlignment="1" applyBorder="1" applyFont="1">
      <alignment readingOrder="0" shrinkToFit="0" vertical="center" wrapText="0"/>
    </xf>
    <xf borderId="6" fillId="4" fontId="7" numFmtId="0" xfId="0" applyAlignment="1" applyBorder="1" applyFont="1">
      <alignment horizontal="right" shrinkToFit="0" vertical="center" wrapText="0"/>
    </xf>
    <xf borderId="6" fillId="4" fontId="6" numFmtId="49" xfId="0" applyAlignment="1" applyBorder="1" applyFont="1" applyNumberFormat="1">
      <alignment shrinkToFit="0" vertical="center" wrapText="1"/>
    </xf>
    <xf borderId="8" fillId="4" fontId="12" numFmtId="0" xfId="0" applyAlignment="1" applyBorder="1" applyFont="1">
      <alignment shrinkToFit="0" vertical="center" wrapText="1"/>
    </xf>
    <xf borderId="1" fillId="4" fontId="6" numFmtId="0" xfId="0" applyAlignment="1" applyBorder="1" applyFont="1">
      <alignment shrinkToFit="0" vertical="center" wrapText="1"/>
    </xf>
    <xf borderId="1" fillId="3" fontId="5" numFmtId="0" xfId="0" applyAlignment="1" applyBorder="1" applyFont="1">
      <alignment horizontal="right" shrinkToFit="0" vertical="center" wrapText="0"/>
    </xf>
    <xf borderId="9" fillId="2" fontId="1" numFmtId="0" xfId="0" applyAlignment="1" applyBorder="1" applyFont="1">
      <alignment readingOrder="0"/>
    </xf>
    <xf borderId="10" fillId="2" fontId="13" numFmtId="0" xfId="0" applyAlignment="1" applyBorder="1" applyFont="1">
      <alignment horizontal="left" readingOrder="0" shrinkToFit="0" wrapText="1"/>
    </xf>
    <xf borderId="11" fillId="2" fontId="13" numFmtId="0" xfId="0" applyAlignment="1" applyBorder="1" applyFont="1">
      <alignment horizontal="left" readingOrder="0" shrinkToFit="0" wrapText="1"/>
    </xf>
    <xf borderId="0" fillId="0" fontId="1" numFmtId="0" xfId="0" applyAlignment="1" applyFont="1">
      <alignment readingOrder="0"/>
    </xf>
    <xf borderId="12" fillId="0" fontId="0" numFmtId="0" xfId="0" applyAlignment="1" applyBorder="1" applyFont="1">
      <alignment readingOrder="0"/>
    </xf>
    <xf borderId="0" fillId="0" fontId="14" numFmtId="0" xfId="0" applyFont="1"/>
    <xf borderId="0" fillId="3" fontId="15" numFmtId="0" xfId="0" applyFont="1"/>
    <xf borderId="13" fillId="0" fontId="14" numFmtId="0" xfId="0" applyBorder="1" applyFont="1"/>
    <xf borderId="12" fillId="0" fontId="0" numFmtId="0" xfId="0" applyAlignment="1" applyBorder="1" applyFont="1">
      <alignment horizontal="left" readingOrder="0" shrinkToFit="0" wrapText="1"/>
    </xf>
    <xf borderId="13" fillId="3" fontId="15" numFmtId="0" xfId="0" applyBorder="1" applyFont="1"/>
    <xf borderId="0" fillId="3" fontId="16" numFmtId="0" xfId="0" applyFont="1"/>
    <xf borderId="14" fillId="0" fontId="1" numFmtId="0" xfId="0" applyAlignment="1" applyBorder="1" applyFont="1">
      <alignment readingOrder="0"/>
    </xf>
    <xf borderId="15" fillId="0" fontId="14" numFmtId="0" xfId="0" applyBorder="1" applyFont="1"/>
    <xf borderId="16" fillId="0" fontId="14" numFmtId="0" xfId="0" applyBorder="1" applyFont="1"/>
    <xf borderId="0" fillId="0" fontId="17" numFmtId="0" xfId="0" applyAlignment="1" applyFont="1">
      <alignment vertical="bottom"/>
    </xf>
    <xf borderId="0" fillId="0" fontId="17"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0" fontId="2" numFmtId="0" xfId="0" applyAlignment="1" applyFont="1">
      <alignment readingOrder="0"/>
    </xf>
    <xf borderId="0" fillId="3" fontId="16" numFmtId="0" xfId="0" applyAlignment="1" applyFont="1">
      <alignment horizontal="left"/>
    </xf>
    <xf borderId="0" fillId="0" fontId="2" numFmtId="0" xfId="0" applyFont="1"/>
    <xf borderId="9" fillId="5" fontId="17" numFmtId="0" xfId="0" applyAlignment="1" applyBorder="1" applyFill="1" applyFont="1">
      <alignment readingOrder="0" vertical="bottom"/>
    </xf>
    <xf borderId="10" fillId="0" fontId="18" numFmtId="0" xfId="0" applyBorder="1" applyFont="1"/>
    <xf borderId="11" fillId="0" fontId="18" numFmtId="0" xfId="0" applyBorder="1" applyFont="1"/>
    <xf borderId="0" fillId="0" fontId="19" numFmtId="0" xfId="0" applyAlignment="1" applyFont="1">
      <alignment readingOrder="0" shrinkToFit="0" vertical="top" wrapText="1"/>
    </xf>
    <xf borderId="0" fillId="0" fontId="19" numFmtId="0" xfId="0" applyAlignment="1" applyFont="1">
      <alignment shrinkToFit="0" vertical="top" wrapText="1"/>
    </xf>
    <xf borderId="0" fillId="0" fontId="2" numFmtId="0" xfId="0" applyAlignment="1" applyFont="1">
      <alignment readingOrder="0" shrinkToFit="0" wrapText="1"/>
    </xf>
    <xf borderId="0" fillId="0" fontId="20" numFmtId="0" xfId="0" applyAlignment="1" applyFont="1">
      <alignment readingOrder="0" shrinkToFit="0" vertical="bottom"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5.png"/><Relationship Id="rId2" Type="http://schemas.openxmlformats.org/officeDocument/2006/relationships/image" Target="../media/image4.png"/><Relationship Id="rId3" Type="http://schemas.openxmlformats.org/officeDocument/2006/relationships/image" Target="../media/image1.png"/><Relationship Id="rId4" Type="http://schemas.openxmlformats.org/officeDocument/2006/relationships/image" Target="../media/image7.png"/><Relationship Id="rId5" Type="http://schemas.openxmlformats.org/officeDocument/2006/relationships/image" Target="../media/image3.png"/><Relationship Id="rId6"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57150</xdr:colOff>
      <xdr:row>10</xdr:row>
      <xdr:rowOff>76200</xdr:rowOff>
    </xdr:from>
    <xdr:ext cx="1971675" cy="2724150"/>
    <xdr:pic>
      <xdr:nvPicPr>
        <xdr:cNvPr id="0" name="image5.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1714500</xdr:colOff>
      <xdr:row>11</xdr:row>
      <xdr:rowOff>1466850</xdr:rowOff>
    </xdr:from>
    <xdr:ext cx="2552700" cy="3057525"/>
    <xdr:pic>
      <xdr:nvPicPr>
        <xdr:cNvPr id="0" name="image4.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8</xdr:col>
      <xdr:colOff>238125</xdr:colOff>
      <xdr:row>15</xdr:row>
      <xdr:rowOff>66675</xdr:rowOff>
    </xdr:from>
    <xdr:ext cx="1971675" cy="2381250"/>
    <xdr:pic>
      <xdr:nvPicPr>
        <xdr:cNvPr id="0" name="image1.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8</xdr:col>
      <xdr:colOff>47625</xdr:colOff>
      <xdr:row>16</xdr:row>
      <xdr:rowOff>1685925</xdr:rowOff>
    </xdr:from>
    <xdr:ext cx="2733675" cy="2867025"/>
    <xdr:pic>
      <xdr:nvPicPr>
        <xdr:cNvPr id="0" name="image7.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8</xdr:col>
      <xdr:colOff>133350</xdr:colOff>
      <xdr:row>20</xdr:row>
      <xdr:rowOff>390525</xdr:rowOff>
    </xdr:from>
    <xdr:ext cx="2886075" cy="3457575"/>
    <xdr:pic>
      <xdr:nvPicPr>
        <xdr:cNvPr id="0" name="image3.pn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9</xdr:col>
      <xdr:colOff>152400</xdr:colOff>
      <xdr:row>20</xdr:row>
      <xdr:rowOff>152400</xdr:rowOff>
    </xdr:from>
    <xdr:ext cx="904875" cy="1419225"/>
    <xdr:pic>
      <xdr:nvPicPr>
        <xdr:cNvPr id="0" name="image2.png" title="Image"/>
        <xdr:cNvPicPr preferRelativeResize="0"/>
      </xdr:nvPicPr>
      <xdr:blipFill>
        <a:blip cstate="print" r:embed="rId6"/>
        <a:stretch>
          <a:fillRect/>
        </a:stretch>
      </xdr:blipFill>
      <xdr:spPr>
        <a:prstGeom prst="rect">
          <a:avLst/>
        </a:prstGeom>
        <a:noFill/>
      </xdr:spPr>
    </xdr:pic>
    <xdr:clientData fLocksWithSheet="0"/>
  </xdr:oneCellAnchor>
  <xdr:oneCellAnchor>
    <xdr:from>
      <xdr:col>8</xdr:col>
      <xdr:colOff>152400</xdr:colOff>
      <xdr:row>23</xdr:row>
      <xdr:rowOff>1257300</xdr:rowOff>
    </xdr:from>
    <xdr:ext cx="2552700" cy="4000500"/>
    <xdr:pic>
      <xdr:nvPicPr>
        <xdr:cNvPr id="0" name="image6.png" title="Image"/>
        <xdr:cNvPicPr preferRelativeResize="0"/>
      </xdr:nvPicPr>
      <xdr:blipFill>
        <a:blip cstate="print" r:embed="rId6"/>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H39" displayName="Group_Heuristic_Evaluations" name="Group_Heuristic_Evaluations" id="1">
  <autoFilter ref="$A$10:$H$39"/>
  <tableColumns count="8">
    <tableColumn name="Problem #" id="1"/>
    <tableColumn name="Heuristic " id="2"/>
    <tableColumn name="Task" id="3"/>
    <tableColumn name="Severity" id="4"/>
    <tableColumn name="Description" id="5"/>
    <tableColumn name="Rationale" id="6"/>
    <tableColumn name="Fix" id="7"/>
    <tableColumn name="Found by" id="8"/>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F1" s="3"/>
      <c r="G1" s="3"/>
      <c r="H1" s="4"/>
    </row>
    <row r="2">
      <c r="A2" s="3"/>
      <c r="B2" s="3"/>
      <c r="C2" s="3"/>
      <c r="D2" s="3"/>
      <c r="E2" s="3"/>
      <c r="F2" s="3"/>
      <c r="G2" s="3"/>
      <c r="H2" s="4"/>
    </row>
    <row r="3">
      <c r="A3" s="3"/>
      <c r="B3" s="3"/>
      <c r="C3" s="3"/>
      <c r="D3" s="5"/>
      <c r="F3" s="3"/>
      <c r="G3" s="3"/>
      <c r="H3" s="4"/>
    </row>
    <row r="4">
      <c r="A4" s="6" t="s">
        <v>2</v>
      </c>
      <c r="B4" s="5" t="s">
        <v>3</v>
      </c>
      <c r="C4" s="5"/>
      <c r="D4" s="7"/>
      <c r="E4" s="5"/>
      <c r="F4" s="3"/>
      <c r="G4" s="3"/>
      <c r="H4" s="4"/>
    </row>
    <row r="5">
      <c r="A5" s="6" t="s">
        <v>4</v>
      </c>
      <c r="B5" s="5" t="s">
        <v>5</v>
      </c>
      <c r="C5" s="5"/>
      <c r="D5" s="7"/>
      <c r="E5" s="5"/>
      <c r="F5" s="3"/>
      <c r="G5" s="3"/>
      <c r="H5" s="4"/>
    </row>
    <row r="6">
      <c r="A6" s="6" t="s">
        <v>6</v>
      </c>
      <c r="B6" s="5" t="s">
        <v>7</v>
      </c>
      <c r="C6" s="5"/>
      <c r="D6" s="7"/>
      <c r="E6" s="5"/>
      <c r="F6" s="3"/>
      <c r="G6" s="3"/>
      <c r="H6" s="4"/>
    </row>
    <row r="7">
      <c r="A7" s="3"/>
      <c r="B7" s="3"/>
      <c r="C7" s="3"/>
      <c r="D7" s="7"/>
      <c r="E7" s="2"/>
      <c r="F7" s="3"/>
      <c r="G7" s="3"/>
      <c r="H7" s="4"/>
    </row>
    <row r="8">
      <c r="A8" s="3"/>
      <c r="B8" s="3"/>
      <c r="C8" s="3"/>
      <c r="D8" s="3"/>
      <c r="E8" s="3"/>
      <c r="F8" s="3"/>
      <c r="G8" s="3"/>
      <c r="H8" s="4"/>
    </row>
    <row r="9">
      <c r="A9" s="3"/>
      <c r="B9" s="3"/>
      <c r="C9" s="3"/>
      <c r="D9" s="3"/>
      <c r="E9" s="5" t="s">
        <v>8</v>
      </c>
      <c r="F9" s="3"/>
      <c r="G9" s="3"/>
      <c r="H9" s="4"/>
    </row>
    <row r="10">
      <c r="A10" s="8" t="s">
        <v>9</v>
      </c>
      <c r="B10" s="9" t="s">
        <v>10</v>
      </c>
      <c r="C10" s="9" t="s">
        <v>11</v>
      </c>
      <c r="D10" s="9" t="s">
        <v>12</v>
      </c>
      <c r="E10" s="9" t="s">
        <v>13</v>
      </c>
      <c r="F10" s="9" t="s">
        <v>14</v>
      </c>
      <c r="G10" s="9" t="s">
        <v>15</v>
      </c>
      <c r="H10" s="10" t="s">
        <v>16</v>
      </c>
    </row>
    <row r="11">
      <c r="A11" s="11">
        <f t="shared" ref="A11:A36" si="1">ROW() - 10</f>
        <v>1</v>
      </c>
      <c r="B11" s="12" t="s">
        <v>17</v>
      </c>
      <c r="C11" s="13" t="s">
        <v>18</v>
      </c>
      <c r="D11" s="14">
        <v>2.0</v>
      </c>
      <c r="E11" s="15" t="s">
        <v>19</v>
      </c>
      <c r="F11" s="16" t="s">
        <v>20</v>
      </c>
      <c r="G11" s="16" t="s">
        <v>21</v>
      </c>
      <c r="H11" s="17" t="s">
        <v>22</v>
      </c>
    </row>
    <row r="12">
      <c r="A12" s="18">
        <f t="shared" si="1"/>
        <v>2</v>
      </c>
      <c r="B12" s="19" t="s">
        <v>23</v>
      </c>
      <c r="C12" s="19" t="s">
        <v>18</v>
      </c>
      <c r="D12" s="20">
        <v>3.0</v>
      </c>
      <c r="E12" s="21" t="s">
        <v>24</v>
      </c>
      <c r="F12" s="22" t="s">
        <v>25</v>
      </c>
      <c r="G12" s="22" t="s">
        <v>26</v>
      </c>
      <c r="H12" s="23" t="s">
        <v>27</v>
      </c>
    </row>
    <row r="13">
      <c r="A13" s="11">
        <f t="shared" si="1"/>
        <v>3</v>
      </c>
      <c r="B13" s="13" t="s">
        <v>28</v>
      </c>
      <c r="C13" s="13" t="s">
        <v>29</v>
      </c>
      <c r="D13" s="24">
        <v>1.0</v>
      </c>
      <c r="E13" s="15" t="s">
        <v>30</v>
      </c>
      <c r="F13" s="16" t="s">
        <v>31</v>
      </c>
      <c r="G13" s="16" t="s">
        <v>32</v>
      </c>
      <c r="H13" s="17" t="s">
        <v>33</v>
      </c>
    </row>
    <row r="14">
      <c r="A14" s="18">
        <f t="shared" si="1"/>
        <v>4</v>
      </c>
      <c r="B14" s="19" t="s">
        <v>23</v>
      </c>
      <c r="C14" s="19" t="s">
        <v>34</v>
      </c>
      <c r="D14" s="25">
        <v>2.0</v>
      </c>
      <c r="E14" s="21" t="s">
        <v>35</v>
      </c>
      <c r="F14" s="22" t="s">
        <v>36</v>
      </c>
      <c r="G14" s="22" t="s">
        <v>37</v>
      </c>
      <c r="H14" s="23" t="s">
        <v>38</v>
      </c>
    </row>
    <row r="15">
      <c r="A15" s="11">
        <f t="shared" si="1"/>
        <v>5</v>
      </c>
      <c r="B15" s="13" t="s">
        <v>23</v>
      </c>
      <c r="C15" s="13" t="s">
        <v>34</v>
      </c>
      <c r="D15" s="14">
        <v>2.0</v>
      </c>
      <c r="E15" s="15" t="s">
        <v>39</v>
      </c>
      <c r="F15" s="16" t="s">
        <v>40</v>
      </c>
      <c r="G15" s="16" t="s">
        <v>41</v>
      </c>
      <c r="H15" s="17" t="s">
        <v>38</v>
      </c>
    </row>
    <row r="16">
      <c r="A16" s="18">
        <f t="shared" si="1"/>
        <v>6</v>
      </c>
      <c r="B16" s="19" t="s">
        <v>42</v>
      </c>
      <c r="C16" s="19" t="s">
        <v>43</v>
      </c>
      <c r="D16" s="26">
        <v>3.0</v>
      </c>
      <c r="E16" s="27" t="s">
        <v>44</v>
      </c>
      <c r="F16" s="22" t="s">
        <v>45</v>
      </c>
      <c r="G16" s="22" t="s">
        <v>46</v>
      </c>
      <c r="H16" s="23" t="s">
        <v>47</v>
      </c>
    </row>
    <row r="17">
      <c r="A17" s="11">
        <f t="shared" si="1"/>
        <v>7</v>
      </c>
      <c r="B17" s="13" t="s">
        <v>48</v>
      </c>
      <c r="C17" s="13" t="s">
        <v>43</v>
      </c>
      <c r="D17" s="28">
        <v>3.0</v>
      </c>
      <c r="E17" s="15" t="s">
        <v>49</v>
      </c>
      <c r="F17" s="16" t="s">
        <v>50</v>
      </c>
      <c r="G17" s="16" t="s">
        <v>51</v>
      </c>
      <c r="H17" s="17" t="s">
        <v>47</v>
      </c>
    </row>
    <row r="18">
      <c r="A18" s="18">
        <f t="shared" si="1"/>
        <v>8</v>
      </c>
      <c r="B18" s="19" t="s">
        <v>17</v>
      </c>
      <c r="C18" s="19" t="s">
        <v>43</v>
      </c>
      <c r="D18" s="29">
        <v>0.0</v>
      </c>
      <c r="E18" s="21" t="s">
        <v>52</v>
      </c>
      <c r="F18" s="22" t="s">
        <v>53</v>
      </c>
      <c r="G18" s="22" t="s">
        <v>54</v>
      </c>
      <c r="H18" s="23" t="s">
        <v>27</v>
      </c>
    </row>
    <row r="19">
      <c r="A19" s="11">
        <f t="shared" si="1"/>
        <v>9</v>
      </c>
      <c r="B19" s="13" t="s">
        <v>28</v>
      </c>
      <c r="C19" s="13" t="s">
        <v>29</v>
      </c>
      <c r="D19" s="30">
        <v>0.0</v>
      </c>
      <c r="E19" s="15" t="s">
        <v>55</v>
      </c>
      <c r="F19" s="16" t="s">
        <v>56</v>
      </c>
      <c r="G19" s="16" t="s">
        <v>57</v>
      </c>
      <c r="H19" s="17" t="s">
        <v>38</v>
      </c>
    </row>
    <row r="20">
      <c r="A20" s="18">
        <f t="shared" si="1"/>
        <v>10</v>
      </c>
      <c r="B20" s="19" t="s">
        <v>58</v>
      </c>
      <c r="C20" s="19" t="s">
        <v>29</v>
      </c>
      <c r="D20" s="31">
        <v>1.0</v>
      </c>
      <c r="E20" s="21" t="s">
        <v>59</v>
      </c>
      <c r="F20" s="22" t="s">
        <v>60</v>
      </c>
      <c r="G20" s="22" t="s">
        <v>61</v>
      </c>
      <c r="H20" s="23" t="s">
        <v>62</v>
      </c>
    </row>
    <row r="21">
      <c r="A21" s="11">
        <f t="shared" si="1"/>
        <v>11</v>
      </c>
      <c r="B21" s="13" t="s">
        <v>28</v>
      </c>
      <c r="C21" s="13" t="s">
        <v>29</v>
      </c>
      <c r="D21" s="32">
        <v>1.0</v>
      </c>
      <c r="E21" s="33" t="s">
        <v>63</v>
      </c>
      <c r="F21" s="16" t="s">
        <v>64</v>
      </c>
      <c r="G21" s="16" t="s">
        <v>65</v>
      </c>
      <c r="H21" s="17" t="s">
        <v>66</v>
      </c>
    </row>
    <row r="22">
      <c r="A22" s="18">
        <f t="shared" si="1"/>
        <v>12</v>
      </c>
      <c r="B22" s="19" t="s">
        <v>28</v>
      </c>
      <c r="C22" s="19" t="s">
        <v>34</v>
      </c>
      <c r="D22" s="34">
        <v>2.0</v>
      </c>
      <c r="E22" s="21" t="s">
        <v>67</v>
      </c>
      <c r="F22" s="22" t="s">
        <v>68</v>
      </c>
      <c r="G22" s="22" t="s">
        <v>69</v>
      </c>
      <c r="H22" s="23" t="s">
        <v>38</v>
      </c>
    </row>
    <row r="23">
      <c r="A23" s="11">
        <f t="shared" si="1"/>
        <v>13</v>
      </c>
      <c r="B23" s="13" t="s">
        <v>42</v>
      </c>
      <c r="C23" s="13" t="s">
        <v>18</v>
      </c>
      <c r="D23" s="35">
        <v>4.0</v>
      </c>
      <c r="E23" s="15" t="s">
        <v>70</v>
      </c>
      <c r="F23" s="16" t="s">
        <v>71</v>
      </c>
      <c r="G23" s="16" t="s">
        <v>72</v>
      </c>
      <c r="H23" s="17" t="s">
        <v>73</v>
      </c>
    </row>
    <row r="24">
      <c r="A24" s="18">
        <f t="shared" si="1"/>
        <v>14</v>
      </c>
      <c r="B24" s="19" t="s">
        <v>74</v>
      </c>
      <c r="C24" s="19" t="s">
        <v>75</v>
      </c>
      <c r="D24" s="31">
        <v>1.0</v>
      </c>
      <c r="E24" s="21" t="s">
        <v>76</v>
      </c>
      <c r="F24" s="22" t="s">
        <v>77</v>
      </c>
      <c r="G24" s="22" t="s">
        <v>78</v>
      </c>
      <c r="H24" s="23" t="s">
        <v>79</v>
      </c>
    </row>
    <row r="25">
      <c r="A25" s="11">
        <f t="shared" si="1"/>
        <v>15</v>
      </c>
      <c r="B25" s="13" t="s">
        <v>80</v>
      </c>
      <c r="C25" s="13" t="s">
        <v>43</v>
      </c>
      <c r="D25" s="30">
        <v>0.0</v>
      </c>
      <c r="E25" s="15" t="s">
        <v>81</v>
      </c>
      <c r="F25" s="16" t="s">
        <v>82</v>
      </c>
      <c r="G25" s="36" t="s">
        <v>83</v>
      </c>
      <c r="H25" s="17" t="s">
        <v>62</v>
      </c>
    </row>
    <row r="26">
      <c r="A26" s="18">
        <f t="shared" si="1"/>
        <v>16</v>
      </c>
      <c r="B26" s="19" t="s">
        <v>84</v>
      </c>
      <c r="C26" s="19" t="s">
        <v>75</v>
      </c>
      <c r="D26" s="29">
        <v>0.0</v>
      </c>
      <c r="E26" s="21" t="s">
        <v>85</v>
      </c>
      <c r="F26" s="22" t="s">
        <v>86</v>
      </c>
      <c r="G26" s="22" t="s">
        <v>87</v>
      </c>
      <c r="H26" s="23" t="s">
        <v>88</v>
      </c>
    </row>
    <row r="27">
      <c r="A27" s="11">
        <f t="shared" si="1"/>
        <v>17</v>
      </c>
      <c r="B27" s="13" t="s">
        <v>89</v>
      </c>
      <c r="C27" s="13" t="s">
        <v>29</v>
      </c>
      <c r="D27" s="30">
        <v>0.0</v>
      </c>
      <c r="E27" s="15" t="s">
        <v>90</v>
      </c>
      <c r="F27" s="16" t="s">
        <v>91</v>
      </c>
      <c r="G27" s="16" t="s">
        <v>92</v>
      </c>
      <c r="H27" s="17" t="s">
        <v>27</v>
      </c>
    </row>
    <row r="28">
      <c r="A28" s="18">
        <f t="shared" si="1"/>
        <v>18</v>
      </c>
      <c r="B28" s="19" t="s">
        <v>93</v>
      </c>
      <c r="C28" s="19" t="s">
        <v>34</v>
      </c>
      <c r="D28" s="31">
        <v>1.0</v>
      </c>
      <c r="E28" s="21" t="s">
        <v>94</v>
      </c>
      <c r="F28" s="22" t="s">
        <v>95</v>
      </c>
      <c r="G28" s="22" t="s">
        <v>96</v>
      </c>
      <c r="H28" s="23" t="s">
        <v>27</v>
      </c>
    </row>
    <row r="29">
      <c r="A29" s="11">
        <f t="shared" si="1"/>
        <v>19</v>
      </c>
      <c r="B29" s="13" t="s">
        <v>97</v>
      </c>
      <c r="C29" s="13" t="s">
        <v>29</v>
      </c>
      <c r="D29" s="37">
        <v>2.0</v>
      </c>
      <c r="E29" s="15" t="s">
        <v>98</v>
      </c>
      <c r="F29" s="16" t="s">
        <v>99</v>
      </c>
      <c r="G29" s="16" t="s">
        <v>100</v>
      </c>
      <c r="H29" s="17" t="s">
        <v>101</v>
      </c>
    </row>
    <row r="30">
      <c r="A30" s="18">
        <f t="shared" si="1"/>
        <v>20</v>
      </c>
      <c r="B30" s="19" t="s">
        <v>58</v>
      </c>
      <c r="C30" s="19" t="s">
        <v>34</v>
      </c>
      <c r="D30" s="29">
        <v>0.0</v>
      </c>
      <c r="E30" s="21" t="s">
        <v>102</v>
      </c>
      <c r="F30" s="22" t="s">
        <v>103</v>
      </c>
      <c r="G30" s="22" t="s">
        <v>104</v>
      </c>
      <c r="H30" s="23" t="s">
        <v>105</v>
      </c>
    </row>
    <row r="31">
      <c r="A31" s="38">
        <f t="shared" si="1"/>
        <v>21</v>
      </c>
      <c r="B31" s="13" t="s">
        <v>84</v>
      </c>
      <c r="C31" s="13" t="s">
        <v>34</v>
      </c>
      <c r="D31" s="39">
        <v>3.0</v>
      </c>
      <c r="E31" s="15" t="s">
        <v>106</v>
      </c>
      <c r="F31" s="16" t="s">
        <v>107</v>
      </c>
      <c r="G31" s="16" t="s">
        <v>108</v>
      </c>
      <c r="H31" s="40" t="s">
        <v>109</v>
      </c>
      <c r="I31" s="41"/>
      <c r="J31" s="41"/>
      <c r="K31" s="41"/>
      <c r="L31" s="41"/>
      <c r="M31" s="41"/>
      <c r="N31" s="41"/>
      <c r="O31" s="41"/>
      <c r="P31" s="41"/>
      <c r="Q31" s="41"/>
      <c r="R31" s="41"/>
      <c r="S31" s="41"/>
      <c r="T31" s="41"/>
      <c r="U31" s="41"/>
      <c r="V31" s="41"/>
      <c r="W31" s="41"/>
      <c r="X31" s="41"/>
      <c r="Y31" s="41"/>
      <c r="Z31" s="41"/>
      <c r="AA31" s="41"/>
      <c r="AB31" s="41"/>
      <c r="AC31" s="41"/>
    </row>
    <row r="32">
      <c r="A32" s="18">
        <f t="shared" si="1"/>
        <v>22</v>
      </c>
      <c r="B32" s="42" t="s">
        <v>17</v>
      </c>
      <c r="C32" s="42" t="s">
        <v>34</v>
      </c>
      <c r="D32" s="43">
        <v>4.0</v>
      </c>
      <c r="E32" s="44" t="s">
        <v>110</v>
      </c>
      <c r="F32" s="44" t="s">
        <v>111</v>
      </c>
      <c r="G32" s="45" t="s">
        <v>112</v>
      </c>
      <c r="H32" s="46" t="s">
        <v>113</v>
      </c>
    </row>
    <row r="33">
      <c r="A33" s="47">
        <f t="shared" si="1"/>
        <v>23</v>
      </c>
      <c r="B33" s="19" t="s">
        <v>23</v>
      </c>
      <c r="C33" s="19" t="s">
        <v>29</v>
      </c>
      <c r="D33" s="34">
        <v>2.0</v>
      </c>
      <c r="E33" s="21" t="s">
        <v>114</v>
      </c>
      <c r="F33" s="22" t="s">
        <v>115</v>
      </c>
      <c r="G33" s="48" t="s">
        <v>116</v>
      </c>
      <c r="H33" s="49" t="s">
        <v>109</v>
      </c>
      <c r="I33" s="41"/>
      <c r="J33" s="41"/>
      <c r="K33" s="41"/>
      <c r="L33" s="41"/>
      <c r="M33" s="41"/>
      <c r="N33" s="41"/>
      <c r="O33" s="41"/>
      <c r="P33" s="41"/>
      <c r="Q33" s="41"/>
      <c r="R33" s="41"/>
      <c r="S33" s="41"/>
      <c r="T33" s="41"/>
      <c r="U33" s="41"/>
      <c r="V33" s="41"/>
      <c r="W33" s="41"/>
      <c r="X33" s="41"/>
      <c r="Y33" s="41"/>
      <c r="Z33" s="41"/>
      <c r="AA33" s="41"/>
      <c r="AB33" s="41"/>
      <c r="AC33" s="41"/>
      <c r="AD33" s="41"/>
    </row>
    <row r="34">
      <c r="A34" s="50">
        <f t="shared" si="1"/>
        <v>24</v>
      </c>
      <c r="B34" s="13" t="s">
        <v>80</v>
      </c>
      <c r="C34" s="13" t="s">
        <v>34</v>
      </c>
      <c r="D34" s="28">
        <v>3.0</v>
      </c>
      <c r="E34" s="15" t="s">
        <v>117</v>
      </c>
      <c r="F34" s="16" t="s">
        <v>118</v>
      </c>
      <c r="G34" s="16" t="s">
        <v>119</v>
      </c>
      <c r="H34" s="51" t="s">
        <v>109</v>
      </c>
      <c r="I34" s="41"/>
      <c r="J34" s="41"/>
      <c r="K34" s="41"/>
      <c r="L34" s="41"/>
      <c r="M34" s="41"/>
      <c r="N34" s="41"/>
      <c r="O34" s="41"/>
      <c r="P34" s="41"/>
      <c r="Q34" s="41"/>
      <c r="R34" s="41"/>
      <c r="S34" s="41"/>
      <c r="T34" s="41"/>
      <c r="U34" s="41"/>
      <c r="V34" s="41"/>
      <c r="W34" s="41"/>
      <c r="X34" s="41"/>
      <c r="Y34" s="41"/>
      <c r="Z34" s="41"/>
      <c r="AA34" s="41"/>
      <c r="AB34" s="41"/>
      <c r="AC34" s="41"/>
      <c r="AD34" s="41"/>
    </row>
    <row r="35">
      <c r="A35" s="47">
        <f t="shared" si="1"/>
        <v>25</v>
      </c>
      <c r="B35" s="19" t="s">
        <v>74</v>
      </c>
      <c r="C35" s="19" t="s">
        <v>43</v>
      </c>
      <c r="D35" s="31">
        <v>1.0</v>
      </c>
      <c r="E35" s="21" t="s">
        <v>120</v>
      </c>
      <c r="F35" s="22" t="s">
        <v>121</v>
      </c>
      <c r="G35" s="48" t="s">
        <v>122</v>
      </c>
      <c r="H35" s="52" t="s">
        <v>123</v>
      </c>
      <c r="I35" s="41"/>
      <c r="J35" s="41"/>
      <c r="K35" s="41"/>
      <c r="L35" s="41"/>
      <c r="M35" s="41"/>
      <c r="N35" s="41"/>
      <c r="O35" s="41"/>
      <c r="P35" s="41"/>
      <c r="Q35" s="41"/>
      <c r="R35" s="41"/>
      <c r="S35" s="41"/>
      <c r="T35" s="41"/>
      <c r="U35" s="41"/>
      <c r="V35" s="41"/>
      <c r="W35" s="41"/>
      <c r="X35" s="41"/>
      <c r="Y35" s="41"/>
      <c r="Z35" s="41"/>
      <c r="AA35" s="41"/>
      <c r="AB35" s="41"/>
      <c r="AC35" s="41"/>
      <c r="AD35" s="41"/>
    </row>
    <row r="36">
      <c r="A36" s="18">
        <f t="shared" si="1"/>
        <v>26</v>
      </c>
      <c r="B36" s="19" t="s">
        <v>48</v>
      </c>
      <c r="C36" s="19" t="s">
        <v>29</v>
      </c>
      <c r="D36" s="34">
        <v>2.0</v>
      </c>
      <c r="E36" s="21" t="s">
        <v>124</v>
      </c>
      <c r="F36" s="21" t="s">
        <v>125</v>
      </c>
      <c r="G36" s="21" t="s">
        <v>126</v>
      </c>
      <c r="H36" s="46" t="s">
        <v>127</v>
      </c>
    </row>
    <row r="37">
      <c r="A37" s="47">
        <f>ROW() - 8</f>
        <v>29</v>
      </c>
      <c r="B37" s="19" t="s">
        <v>97</v>
      </c>
      <c r="C37" s="19" t="s">
        <v>29</v>
      </c>
      <c r="D37" s="53">
        <v>3.0</v>
      </c>
      <c r="E37" s="54" t="s">
        <v>128</v>
      </c>
      <c r="F37" s="55" t="s">
        <v>129</v>
      </c>
      <c r="G37" s="56" t="s">
        <v>130</v>
      </c>
      <c r="H37" s="46" t="s">
        <v>131</v>
      </c>
    </row>
    <row r="38">
      <c r="A38" s="18">
        <f t="shared" ref="A38:A39" si="2">ROW() - 10</f>
        <v>28</v>
      </c>
      <c r="B38" s="13" t="s">
        <v>93</v>
      </c>
      <c r="C38" s="13" t="s">
        <v>43</v>
      </c>
      <c r="D38" s="32">
        <v>1.0</v>
      </c>
      <c r="E38" s="15" t="s">
        <v>132</v>
      </c>
      <c r="F38" s="15" t="s">
        <v>133</v>
      </c>
      <c r="G38" s="15" t="s">
        <v>134</v>
      </c>
      <c r="H38" s="46" t="s">
        <v>127</v>
      </c>
    </row>
    <row r="39">
      <c r="A39" s="50">
        <f t="shared" si="2"/>
        <v>29</v>
      </c>
      <c r="B39" s="13" t="s">
        <v>42</v>
      </c>
      <c r="C39" s="13" t="s">
        <v>43</v>
      </c>
      <c r="D39" s="57">
        <v>2.0</v>
      </c>
      <c r="E39" s="15" t="s">
        <v>135</v>
      </c>
      <c r="F39" s="16" t="s">
        <v>136</v>
      </c>
      <c r="G39" s="16" t="s">
        <v>137</v>
      </c>
      <c r="H39" s="51" t="s">
        <v>109</v>
      </c>
      <c r="I39" s="41"/>
      <c r="J39" s="41"/>
      <c r="K39" s="41"/>
      <c r="L39" s="41"/>
      <c r="M39" s="41"/>
      <c r="N39" s="41"/>
      <c r="O39" s="41"/>
      <c r="P39" s="41"/>
      <c r="Q39" s="41"/>
      <c r="R39" s="41"/>
      <c r="S39" s="41"/>
      <c r="T39" s="41"/>
      <c r="U39" s="41"/>
      <c r="V39" s="41"/>
      <c r="W39" s="41"/>
      <c r="X39" s="41"/>
      <c r="Y39" s="41"/>
      <c r="Z39" s="41"/>
      <c r="AA39" s="41"/>
      <c r="AB39" s="41"/>
      <c r="AC39" s="41"/>
      <c r="AD39" s="41"/>
    </row>
  </sheetData>
  <customSheetViews>
    <customSheetView guid="{39ED7C02-D17E-4F73-90A6-B9A0661EEA69}" filter="1" showAutoFilter="1">
      <autoFilter ref="$A$10:$H$39"/>
    </customSheetView>
    <customSheetView guid="{A3A4FA85-8131-4CF8-80F2-6DCAF3F2D23C}" filter="1" showAutoFilter="1">
      <autoFilter ref="$A$10:$H$39"/>
    </customSheetView>
  </customSheetViews>
  <mergeCells count="2">
    <mergeCell ref="B1:E1"/>
    <mergeCell ref="D3:E3"/>
  </mergeCells>
  <dataValidations>
    <dataValidation type="list" allowBlank="1" sqref="B11:B39">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39">
      <formula1>"0,1,2,3,4"</formula1>
    </dataValidation>
    <dataValidation type="list" allowBlank="1" sqref="H11:H39">
      <formula1>"A,B,C,D"</formula1>
    </dataValidation>
    <dataValidation type="list" allowBlank="1" sqref="C11:C39">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58" t="s">
        <v>138</v>
      </c>
      <c r="B1" s="59" t="s">
        <v>139</v>
      </c>
      <c r="C1" s="59" t="s">
        <v>140</v>
      </c>
      <c r="D1" s="59" t="s">
        <v>141</v>
      </c>
      <c r="E1" s="59" t="s">
        <v>142</v>
      </c>
      <c r="F1" s="59" t="s">
        <v>143</v>
      </c>
      <c r="G1" s="60" t="s">
        <v>144</v>
      </c>
      <c r="I1" s="61"/>
      <c r="J1" s="61"/>
      <c r="K1" s="61"/>
      <c r="L1" s="61"/>
    </row>
    <row r="2">
      <c r="A2" s="62" t="s">
        <v>17</v>
      </c>
      <c r="B2" s="63">
        <f>COUNTIFS('Group Heuristic Evaluation'!B:B, "H1: Visibility of System Status", 'Group Heuristic Evaluation'!D:D, 0)</f>
        <v>1</v>
      </c>
      <c r="C2" s="63">
        <f>COUNTIFS('Group Heuristic Evaluation'!B:B, "H1: Visibility of System Status", 'Group Heuristic Evaluation'!D:D, 1)</f>
        <v>0</v>
      </c>
      <c r="D2" s="64">
        <f>COUNTIFS('Group Heuristic Evaluation'!B:B, "H1: Visibility of System Status", 'Group Heuristic Evaluation'!D:D, 2)</f>
        <v>1</v>
      </c>
      <c r="E2" s="64">
        <f>COUNTIFS('Group Heuristic Evaluation'!B:B, "H1: Visibility of System Status", 'Group Heuristic Evaluation'!D:D, 3)</f>
        <v>0</v>
      </c>
      <c r="F2" s="64">
        <f>COUNTIFS('Group Heuristic Evaluation'!B:B, "H1: Visibility of System Status", 'Group Heuristic Evaluation'!D:D, 4)</f>
        <v>1</v>
      </c>
      <c r="G2" s="65">
        <f t="shared" ref="G2:G5" si="1">SUM(B2:F2)</f>
        <v>3</v>
      </c>
      <c r="I2" s="61"/>
      <c r="J2" s="61"/>
      <c r="K2" s="61"/>
      <c r="L2" s="61"/>
    </row>
    <row r="3">
      <c r="A3" s="66" t="s">
        <v>58</v>
      </c>
      <c r="B3" s="63">
        <f>COUNTIFS('Group Heuristic Evaluation'!B:B, "H2: Match b/w System &amp; World", 'Group Heuristic Evaluation'!D:D, 0)</f>
        <v>1</v>
      </c>
      <c r="C3" s="64">
        <f>COUNTIFS('Group Heuristic Evaluation'!B:B, "H2: Match b/w System &amp; World", 'Group Heuristic Evaluation'!D:D, 1)</f>
        <v>1</v>
      </c>
      <c r="D3" s="64">
        <f>COUNTIFS('Group Heuristic Evaluation'!B:B, "H2: Match b/w System &amp; World", 'Group Heuristic Evaluation'!D:D, 2)</f>
        <v>0</v>
      </c>
      <c r="E3" s="64">
        <f>COUNTIFS('Group Heuristic Evaluation'!B:B, "H2: Match b/w System &amp; World", 'Group Heuristic Evaluation'!D:D, 3)</f>
        <v>0</v>
      </c>
      <c r="F3" s="64">
        <f>COUNTIFS('Group Heuristic Evaluation'!B:B, "H2: Match b/w System &amp; World", 'Group Heuristic Evaluation'!D:D, 4)</f>
        <v>0</v>
      </c>
      <c r="G3" s="67">
        <f t="shared" si="1"/>
        <v>2</v>
      </c>
      <c r="I3" s="61"/>
      <c r="J3" s="61"/>
      <c r="K3" s="61"/>
      <c r="L3" s="61"/>
    </row>
    <row r="4">
      <c r="A4" s="66" t="s">
        <v>42</v>
      </c>
      <c r="B4" s="63">
        <f>COUNTIFS('Group Heuristic Evaluation'!B:B, "H3: User Control &amp; Freedom", 'Group Heuristic Evaluation'!D:D, 0)</f>
        <v>0</v>
      </c>
      <c r="C4" s="64">
        <f>COUNTIFS('Group Heuristic Evaluation'!B:B, "H3: User Control &amp; Freedom", 'Group Heuristic Evaluation'!D:D, 1)</f>
        <v>0</v>
      </c>
      <c r="D4" s="64">
        <f>COUNTIFS('Group Heuristic Evaluation'!B:B, "H3: User Control &amp; Freedom", 'Group Heuristic Evaluation'!D:D, 2)</f>
        <v>1</v>
      </c>
      <c r="E4" s="64">
        <f>COUNTIFS('Group Heuristic Evaluation'!B:B, "H3: User Control &amp; Freedom", 'Group Heuristic Evaluation'!D:D, 3)</f>
        <v>1</v>
      </c>
      <c r="F4" s="64">
        <f>COUNTIFS('Group Heuristic Evaluation'!B:B, "H3: User Control &amp; Freedom", 'Group Heuristic Evaluation'!D:D, 4)</f>
        <v>1</v>
      </c>
      <c r="G4" s="67">
        <f t="shared" si="1"/>
        <v>3</v>
      </c>
      <c r="I4" s="61"/>
      <c r="J4" s="61"/>
      <c r="K4" s="61"/>
      <c r="L4" s="61"/>
    </row>
    <row r="5">
      <c r="A5" s="66" t="s">
        <v>23</v>
      </c>
      <c r="B5" s="63">
        <f>COUNTIFS('Group Heuristic Evaluation'!B:B, "H4: Consistency &amp; Standards", 'Group Heuristic Evaluation'!D:D, 0)</f>
        <v>0</v>
      </c>
      <c r="C5" s="64">
        <f>COUNTIFS('Group Heuristic Evaluation'!B:B, "H4: Consistency &amp; Standards", 'Group Heuristic Evaluation'!D:D, 1)</f>
        <v>0</v>
      </c>
      <c r="D5" s="64">
        <f>COUNTIFS('Group Heuristic Evaluation'!B:B, "H4: Consistency &amp; Standards", 'Group Heuristic Evaluation'!D:D, 2)</f>
        <v>3</v>
      </c>
      <c r="E5" s="64">
        <f>COUNTIFS('Group Heuristic Evaluation'!B:B, "H4: Consistency &amp; Standards", 'Group Heuristic Evaluation'!D:D, 3)</f>
        <v>1</v>
      </c>
      <c r="F5" s="64">
        <f>COUNTIFS('Group Heuristic Evaluation'!B:B, "H4: Consistency &amp; Standards", 'Group Heuristic Evaluation'!D:D, 4)</f>
        <v>0</v>
      </c>
      <c r="G5" s="67">
        <f t="shared" si="1"/>
        <v>4</v>
      </c>
      <c r="I5" s="61"/>
      <c r="J5" s="61"/>
      <c r="K5" s="61"/>
      <c r="L5" s="61"/>
    </row>
    <row r="6">
      <c r="A6" s="66" t="s">
        <v>48</v>
      </c>
      <c r="B6" s="63">
        <f>COUNTIFS('Group Heuristic Evaluation'!B:B, "H5: Error Prevention", 'Group Heuristic Evaluation'!D:D, 0)</f>
        <v>0</v>
      </c>
      <c r="C6" s="64">
        <f>COUNTIFS('Group Heuristic Evaluation'!B:B, "H5: Error Prevention", 'Group Heuristic Evaluation'!D:D, 1)</f>
        <v>0</v>
      </c>
      <c r="D6" s="64">
        <f>COUNTIFS('Group Heuristic Evaluation'!B:B, "H5: Error Prevention", 'Group Heuristic Evaluation'!D:D, 2)</f>
        <v>1</v>
      </c>
      <c r="E6" s="64">
        <f>COUNTIFS('Group Heuristic Evaluation'!B:B, "H5: Error Prevention", 'Group Heuristic Evaluation'!D:D, 3)</f>
        <v>1</v>
      </c>
      <c r="F6" s="64">
        <f>COUNTIFS('Group Heuristic Evaluation'!B:B, "H5: Error Prevention", 'Group Heuristic Evaluation'!D:D, 4)</f>
        <v>0</v>
      </c>
      <c r="G6" s="67">
        <f>SUM(C6:F6)</f>
        <v>2</v>
      </c>
      <c r="I6" s="61"/>
      <c r="J6" s="61"/>
      <c r="K6" s="61"/>
      <c r="L6" s="61"/>
    </row>
    <row r="7">
      <c r="A7" s="66" t="s">
        <v>97</v>
      </c>
      <c r="B7" s="63">
        <f>COUNTIFS('Group Heuristic Evaluation'!B:B, "H6: Recognition not Recall", 'Group Heuristic Evaluation'!D:D, 0)</f>
        <v>0</v>
      </c>
      <c r="C7" s="64">
        <f>COUNTIFS('Group Heuristic Evaluation'!B:B, "H6: Recognition not Recall", 'Group Heuristic Evaluation'!D:D, 1)</f>
        <v>0</v>
      </c>
      <c r="D7" s="64">
        <f>COUNTIFS('Group Heuristic Evaluation'!B:B, "H6: Recognition not Recall", 'Group Heuristic Evaluation'!D:D, 2)</f>
        <v>1</v>
      </c>
      <c r="E7" s="64">
        <f>COUNTIFS('Group Heuristic Evaluation'!B:B, "H6: Recognition not Recall", 'Group Heuristic Evaluation'!D:D, 3)</f>
        <v>1</v>
      </c>
      <c r="F7" s="64">
        <f>COUNTIFS('Group Heuristic Evaluation'!B:B, "H6: Recognition not Recall", 'Group Heuristic Evaluation'!D:D, 4)</f>
        <v>0</v>
      </c>
      <c r="G7" s="67">
        <f t="shared" ref="G7:G13" si="2">SUM(B7:F7)</f>
        <v>2</v>
      </c>
      <c r="I7" s="61"/>
      <c r="J7" s="61"/>
      <c r="K7" s="61"/>
      <c r="L7" s="61"/>
    </row>
    <row r="8">
      <c r="A8" s="66" t="s">
        <v>28</v>
      </c>
      <c r="B8" s="63">
        <f>COUNTIFS('Group Heuristic Evaluation'!B:B, "H7: Flexibility &amp; Efficiency of Use", 'Group Heuristic Evaluation'!D:D, 0)</f>
        <v>1</v>
      </c>
      <c r="C8" s="64">
        <f>COUNTIFS('Group Heuristic Evaluation'!B:B, "H7: Flexibility &amp; Efficiency of Use", 'Group Heuristic Evaluation'!D:D, 1)</f>
        <v>2</v>
      </c>
      <c r="D8" s="64">
        <f>COUNTIFS('Group Heuristic Evaluation'!B:B, "H7: Flexibility &amp; Efficiency of Use", 'Group Heuristic Evaluation'!D:D, 2)</f>
        <v>1</v>
      </c>
      <c r="E8" s="64">
        <f>COUNTIFS('Group Heuristic Evaluation'!B:B, "H7: Flexibility &amp; Efficiency of Use", 'Group Heuristic Evaluation'!D:D, 3)</f>
        <v>0</v>
      </c>
      <c r="F8" s="64">
        <f>COUNTIFS('Group Heuristic Evaluation'!B:B, "H7: Flexibility &amp; Efficiency of Use", 'Group Heuristic Evaluation'!D:D, 4)</f>
        <v>0</v>
      </c>
      <c r="G8" s="67">
        <f t="shared" si="2"/>
        <v>4</v>
      </c>
      <c r="I8" s="61"/>
      <c r="J8" s="61"/>
      <c r="K8" s="61"/>
      <c r="L8" s="61"/>
    </row>
    <row r="9">
      <c r="A9" s="66" t="s">
        <v>93</v>
      </c>
      <c r="B9" s="63">
        <f>COUNTIFS('Group Heuristic Evaluation'!B:B, "H8: Aesthetic &amp; Minimalist Design", 'Group Heuristic Evaluation'!D:D, 0)</f>
        <v>0</v>
      </c>
      <c r="C9" s="68">
        <f>COUNTIFS('Group Heuristic Evaluation'!B:B, "H8: Aesthetic &amp; Minimalist Design", 'Group Heuristic Evaluation'!D:D, 1)</f>
        <v>2</v>
      </c>
      <c r="D9" s="68">
        <f>COUNTIFS('Group Heuristic Evaluation'!B:B, "H8: Aesthetic &amp; Minimalist Design", 'Group Heuristic Evaluation'!D:D, 2)</f>
        <v>0</v>
      </c>
      <c r="E9" s="68">
        <f>COUNTIFS('Group Heuristic Evaluation'!B:B, "H8: Aesthetic &amp; Minimalist Design", 'Group Heuristic Evaluation'!D:D, 3)</f>
        <v>0</v>
      </c>
      <c r="F9" s="68">
        <f>COUNTIFS('Group Heuristic Evaluation'!B:B, "H8: Aesthetic &amp; Minimalist Design", 'Group Heuristic Evaluation'!D:D, 4)</f>
        <v>0</v>
      </c>
      <c r="G9" s="67">
        <f t="shared" si="2"/>
        <v>2</v>
      </c>
      <c r="I9" s="61"/>
      <c r="J9" s="61"/>
      <c r="K9" s="61"/>
      <c r="L9" s="61"/>
    </row>
    <row r="10">
      <c r="A10" s="66" t="s">
        <v>89</v>
      </c>
      <c r="B10" s="63">
        <f>COUNTIFS('Group Heuristic Evaluation'!B:B, "H9: Help Users with Errors", 'Group Heuristic Evaluation'!D:D, 0)</f>
        <v>1</v>
      </c>
      <c r="C10" s="68">
        <f>COUNTIFS('Group Heuristic Evaluation'!B:B, "H9: Help Users with Errors", 'Group Heuristic Evaluation'!D:D, 1)</f>
        <v>0</v>
      </c>
      <c r="D10" s="68">
        <f>COUNTIFS('Group Heuristic Evaluation'!B:B, "H9: Help Users with Errors", 'Group Heuristic Evaluation'!D:D, 2)</f>
        <v>0</v>
      </c>
      <c r="E10" s="68">
        <f>COUNTIFS('Group Heuristic Evaluation'!B:B, "H9: Help Users with Errors", 'Group Heuristic Evaluation'!D:D, 3)</f>
        <v>0</v>
      </c>
      <c r="F10" s="68">
        <f>COUNTIFS('Group Heuristic Evaluation'!B:B, "H9: Help Users with Errors", 'Group Heuristic Evaluation'!D:D, 4)</f>
        <v>0</v>
      </c>
      <c r="G10" s="67">
        <f t="shared" si="2"/>
        <v>1</v>
      </c>
      <c r="I10" s="61"/>
      <c r="J10" s="61"/>
      <c r="K10" s="61"/>
      <c r="L10" s="61"/>
    </row>
    <row r="11">
      <c r="A11" s="66" t="s">
        <v>80</v>
      </c>
      <c r="B11" s="63">
        <f>COUNTIFS('Group Heuristic Evaluation'!B:B, "H10: Help &amp; Documentation", 'Group Heuristic Evaluation'!D:D, 0)</f>
        <v>1</v>
      </c>
      <c r="C11" s="68">
        <f>COUNTIFS('Group Heuristic Evaluation'!B:B, "H10: Help &amp; Documentation", 'Group Heuristic Evaluation'!D:D, 1)</f>
        <v>0</v>
      </c>
      <c r="D11" s="68">
        <f>COUNTIFS('Group Heuristic Evaluation'!B:B, "H10: Help &amp; Documentation", 'Group Heuristic Evaluation'!D:D, 2)</f>
        <v>0</v>
      </c>
      <c r="E11" s="68">
        <f>COUNTIFS('Group Heuristic Evaluation'!B:B, "H10: Help &amp; Documentation", 'Group Heuristic Evaluation'!D:D, 3)</f>
        <v>1</v>
      </c>
      <c r="F11" s="68">
        <f>COUNTIFS('Group Heuristic Evaluation'!B:B, "H10: Help &amp; Documentation", 'Group Heuristic Evaluation'!D:D, 4)</f>
        <v>0</v>
      </c>
      <c r="G11" s="67">
        <f t="shared" si="2"/>
        <v>2</v>
      </c>
      <c r="I11" s="61"/>
      <c r="J11" s="61"/>
      <c r="K11" s="61"/>
      <c r="L11" s="61"/>
    </row>
    <row r="12">
      <c r="A12" s="66" t="s">
        <v>74</v>
      </c>
      <c r="B12" s="63">
        <f>COUNTIFS('Group Heuristic Evaluation'!B:B, "H11: Accessible Design", 'Group Heuristic Evaluation'!D:D, 0)</f>
        <v>0</v>
      </c>
      <c r="C12" s="68">
        <f>COUNTIFS('Group Heuristic Evaluation'!B:B, "H11: Accessible Design", 'Group Heuristic Evaluation'!D:D, 1)</f>
        <v>2</v>
      </c>
      <c r="D12" s="68">
        <f>COUNTIFS('Group Heuristic Evaluation'!B:B, "H11: Accessible Design", 'Group Heuristic Evaluation'!D:D, 2)</f>
        <v>0</v>
      </c>
      <c r="E12" s="68">
        <f>COUNTIFS('Group Heuristic Evaluation'!B:B, "H11: Accessible Design", 'Group Heuristic Evaluation'!D:D, 3)</f>
        <v>0</v>
      </c>
      <c r="F12" s="68">
        <f>COUNTIFS('Group Heuristic Evaluation'!B:B, "H11: Accessible Design", 'Group Heuristic Evaluation'!D:D, 4)</f>
        <v>0</v>
      </c>
      <c r="G12" s="67">
        <f t="shared" si="2"/>
        <v>2</v>
      </c>
      <c r="I12" s="61"/>
      <c r="J12" s="61"/>
      <c r="K12" s="61"/>
      <c r="L12" s="61"/>
    </row>
    <row r="13">
      <c r="A13" s="66" t="s">
        <v>145</v>
      </c>
      <c r="B13" s="63">
        <f>COUNTIFS('Group Heuristic Evaluation'!B:B, "H12: Value Alignment &amp; Inclusion", 'Group Heuristic Evaluation'!D:D, 0)</f>
        <v>1</v>
      </c>
      <c r="C13" s="68">
        <f>COUNTIFS('Group Heuristic Evaluation'!B:B, "H12: Value Alignment &amp; Inclusion", 'Group Heuristic Evaluation'!D:D, 1)</f>
        <v>0</v>
      </c>
      <c r="D13" s="68">
        <f>COUNTIFS('Group Heuristic Evaluation'!B:B, "H12: Value Alignment &amp; Inclusion", 'Group Heuristic Evaluation'!D:D, 2)</f>
        <v>0</v>
      </c>
      <c r="E13" s="68">
        <f>COUNTIFS('Group Heuristic Evaluation'!B:B, "H12: Value Alignment &amp; Inclusion", 'Group Heuristic Evaluation'!D:D, 3)</f>
        <v>1</v>
      </c>
      <c r="F13" s="68">
        <f>COUNTIFS('Group Heuristic Evaluation'!B:B, "H12: Value Alignment &amp; Inclusion", 'Group Heuristic Evaluation'!D:D, 4)</f>
        <v>0</v>
      </c>
      <c r="G13" s="67">
        <f t="shared" si="2"/>
        <v>2</v>
      </c>
      <c r="I13" s="61"/>
      <c r="J13" s="61"/>
      <c r="K13" s="61"/>
      <c r="L13" s="61"/>
    </row>
    <row r="14">
      <c r="A14" s="69" t="s">
        <v>146</v>
      </c>
      <c r="B14" s="70">
        <f>SUM(B2:B13)</f>
        <v>6</v>
      </c>
      <c r="C14" s="70">
        <f t="shared" ref="C14:D14" si="3">SUM(C1:C13)</f>
        <v>7</v>
      </c>
      <c r="D14" s="70">
        <f t="shared" si="3"/>
        <v>8</v>
      </c>
      <c r="E14" s="70">
        <f t="shared" ref="E14:G14" si="4">SUM(E2:E13)</f>
        <v>6</v>
      </c>
      <c r="F14" s="70">
        <f t="shared" si="4"/>
        <v>2</v>
      </c>
      <c r="G14" s="71">
        <f t="shared" si="4"/>
        <v>29</v>
      </c>
      <c r="I14" s="61"/>
      <c r="J14" s="61"/>
      <c r="K14" s="61"/>
      <c r="L14" s="61"/>
    </row>
    <row r="16">
      <c r="A16" s="72"/>
      <c r="B16" s="72"/>
      <c r="C16" s="72"/>
      <c r="D16" s="72"/>
      <c r="E16" s="72"/>
      <c r="F16" s="72"/>
      <c r="G16" s="72"/>
    </row>
    <row r="17">
      <c r="A17" s="72"/>
      <c r="B17" s="72"/>
      <c r="C17" s="72"/>
      <c r="D17" s="72"/>
      <c r="E17" s="72"/>
      <c r="F17" s="72"/>
      <c r="G17" s="72"/>
    </row>
    <row r="18">
      <c r="A18" s="72"/>
      <c r="B18" s="72"/>
      <c r="C18" s="72"/>
      <c r="D18" s="72"/>
      <c r="E18" s="72"/>
      <c r="F18" s="72"/>
      <c r="G18" s="72"/>
    </row>
    <row r="19">
      <c r="A19" s="72"/>
      <c r="B19" s="72"/>
      <c r="C19" s="72"/>
      <c r="D19" s="72"/>
      <c r="E19" s="72"/>
      <c r="F19" s="72"/>
      <c r="G19" s="72"/>
    </row>
    <row r="20">
      <c r="A20" s="72"/>
      <c r="B20" s="72"/>
      <c r="C20" s="72"/>
      <c r="D20" s="72"/>
      <c r="E20" s="72"/>
      <c r="F20" s="72"/>
      <c r="G20" s="72"/>
    </row>
    <row r="21">
      <c r="A21" s="72"/>
      <c r="B21" s="72"/>
      <c r="C21" s="72"/>
      <c r="D21" s="72"/>
      <c r="E21" s="72"/>
      <c r="F21" s="72"/>
      <c r="G21" s="72"/>
    </row>
    <row r="22">
      <c r="A22" s="72"/>
      <c r="B22" s="72"/>
      <c r="C22" s="72"/>
      <c r="D22" s="72"/>
      <c r="E22" s="72"/>
      <c r="F22" s="72"/>
      <c r="G22" s="72"/>
    </row>
    <row r="23">
      <c r="A23" s="72"/>
      <c r="B23" s="72"/>
      <c r="C23" s="72"/>
      <c r="D23" s="72"/>
      <c r="E23" s="72"/>
      <c r="F23" s="72"/>
      <c r="G23" s="72"/>
    </row>
    <row r="24">
      <c r="A24" s="72"/>
      <c r="B24" s="72"/>
      <c r="C24" s="72"/>
      <c r="D24" s="72"/>
      <c r="E24" s="72"/>
      <c r="F24" s="72"/>
      <c r="G24" s="72"/>
    </row>
    <row r="25">
      <c r="A25" s="72"/>
      <c r="B25" s="72"/>
      <c r="C25" s="72"/>
      <c r="D25" s="72"/>
      <c r="E25" s="72"/>
      <c r="F25" s="72"/>
      <c r="G25" s="72"/>
    </row>
    <row r="26">
      <c r="A26" s="72"/>
      <c r="B26" s="72"/>
      <c r="C26" s="72"/>
      <c r="D26" s="72"/>
      <c r="E26" s="72"/>
      <c r="F26" s="72"/>
      <c r="G26" s="72"/>
    </row>
    <row r="27">
      <c r="A27" s="72"/>
      <c r="B27" s="72"/>
      <c r="C27" s="72"/>
      <c r="D27" s="72"/>
      <c r="E27" s="72"/>
      <c r="F27" s="72"/>
      <c r="G27" s="72"/>
    </row>
    <row r="28">
      <c r="A28" s="72"/>
      <c r="B28" s="72"/>
      <c r="C28" s="72"/>
      <c r="D28" s="72"/>
      <c r="E28" s="72"/>
      <c r="F28" s="72"/>
      <c r="G28" s="72"/>
    </row>
    <row r="29">
      <c r="A29" s="72"/>
      <c r="B29" s="72"/>
      <c r="C29" s="72"/>
      <c r="D29" s="72"/>
      <c r="E29" s="72"/>
      <c r="F29" s="72"/>
      <c r="G29" s="72"/>
    </row>
    <row r="32">
      <c r="A32" s="73"/>
      <c r="B32" s="73"/>
      <c r="C32" s="73"/>
      <c r="D32" s="73"/>
      <c r="E32" s="73"/>
      <c r="F32" s="73"/>
      <c r="G32" s="73"/>
    </row>
    <row r="33">
      <c r="A33" s="73"/>
      <c r="B33" s="73"/>
      <c r="C33" s="73"/>
      <c r="D33" s="73"/>
      <c r="E33" s="73"/>
      <c r="F33" s="73"/>
      <c r="G33" s="73"/>
    </row>
    <row r="34">
      <c r="A34" s="73"/>
      <c r="B34" s="73"/>
      <c r="C34" s="73"/>
      <c r="D34" s="73"/>
      <c r="E34" s="73"/>
      <c r="F34" s="73"/>
      <c r="G34" s="73"/>
    </row>
    <row r="35">
      <c r="A35" s="73"/>
      <c r="B35" s="73"/>
      <c r="C35" s="73"/>
      <c r="D35" s="73"/>
      <c r="E35" s="73"/>
      <c r="F35" s="73"/>
      <c r="G35" s="73"/>
    </row>
    <row r="36">
      <c r="A36" s="73"/>
      <c r="B36" s="73"/>
      <c r="C36" s="73"/>
      <c r="D36" s="73"/>
      <c r="E36" s="73"/>
      <c r="F36" s="73"/>
      <c r="G36" s="73"/>
    </row>
    <row r="37">
      <c r="A37" s="73"/>
      <c r="B37" s="73"/>
      <c r="C37" s="73"/>
      <c r="D37" s="73"/>
      <c r="E37" s="73"/>
      <c r="F37" s="73"/>
      <c r="G37" s="73"/>
    </row>
    <row r="38">
      <c r="A38" s="73"/>
      <c r="B38" s="73"/>
      <c r="C38" s="73"/>
      <c r="D38" s="73"/>
      <c r="E38" s="73"/>
      <c r="F38" s="73"/>
      <c r="G38" s="73"/>
    </row>
    <row r="39">
      <c r="A39" s="73"/>
      <c r="B39" s="73"/>
      <c r="C39" s="73"/>
      <c r="D39" s="73"/>
      <c r="E39" s="73"/>
      <c r="F39" s="73"/>
      <c r="G39" s="73"/>
    </row>
    <row r="40">
      <c r="A40" s="73"/>
      <c r="B40" s="73"/>
      <c r="C40" s="73"/>
      <c r="D40" s="73"/>
      <c r="E40" s="73"/>
      <c r="F40" s="73"/>
      <c r="G40" s="73"/>
    </row>
    <row r="41">
      <c r="A41" s="73"/>
      <c r="B41" s="73"/>
      <c r="C41" s="73"/>
      <c r="D41" s="73"/>
      <c r="E41" s="73"/>
      <c r="F41" s="73"/>
      <c r="G41" s="73"/>
    </row>
    <row r="42">
      <c r="A42" s="73"/>
      <c r="B42" s="73"/>
      <c r="C42" s="73"/>
      <c r="D42" s="73"/>
      <c r="E42" s="73"/>
      <c r="F42" s="73"/>
      <c r="G42" s="73"/>
    </row>
    <row r="43">
      <c r="A43" s="73"/>
      <c r="B43" s="73"/>
      <c r="C43" s="73"/>
      <c r="D43" s="73"/>
      <c r="E43" s="73"/>
      <c r="F43" s="73"/>
      <c r="G43" s="73"/>
    </row>
    <row r="44">
      <c r="A44" s="73"/>
      <c r="B44" s="73"/>
      <c r="C44" s="73"/>
      <c r="D44" s="73"/>
      <c r="E44" s="73"/>
      <c r="F44" s="73"/>
      <c r="G44" s="73"/>
    </row>
    <row r="45">
      <c r="A45" s="73"/>
      <c r="B45" s="73"/>
      <c r="C45" s="73"/>
      <c r="D45" s="73"/>
      <c r="E45" s="73"/>
      <c r="F45" s="73"/>
      <c r="G45" s="73"/>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74" t="s">
        <v>147</v>
      </c>
    </row>
    <row r="2">
      <c r="A2" s="75" t="s">
        <v>12</v>
      </c>
      <c r="B2" s="75" t="s">
        <v>148</v>
      </c>
      <c r="C2" s="75" t="s">
        <v>149</v>
      </c>
      <c r="D2" s="75" t="s">
        <v>150</v>
      </c>
      <c r="E2" s="75" t="s">
        <v>151</v>
      </c>
    </row>
    <row r="3">
      <c r="A3" s="76">
        <v>0.0</v>
      </c>
      <c r="B3" s="68">
        <f>COUNTIFS('Group Heuristic Evaluation'!H:H, "*A*",'Group Heuristic Evaluation'!D:D, 0)/COUNTA('Group Heuristic Evaluation'!B10:B100)
</f>
        <v>0.03333333333</v>
      </c>
      <c r="C3" s="77">
        <f>COUNTIFS('Group Heuristic Evaluation'!H:H, "*B*",'Group Heuristic Evaluation'!D:D, 0)/COUNTA('Group Heuristic Evaluation'!B10:B100)</f>
        <v>0.1333333333</v>
      </c>
      <c r="D3" s="68">
        <f>COUNTIFS('Group Heuristic Evaluation'!H:H, "*C*",'Group Heuristic Evaluation'!D:D, 0)/COUNTA('Group Heuristic Evaluation'!B10:B100)</f>
        <v>0.06666666667</v>
      </c>
      <c r="E3" s="68">
        <f>COUNTIFS('Group Heuristic Evaluation'!H:H, "*D*",'Group Heuristic Evaluation'!D:D, 0)/COUNTA('Group Heuristic Evaluation'!B10:B100)</f>
        <v>0.2</v>
      </c>
    </row>
    <row r="4">
      <c r="A4" s="76">
        <v>1.0</v>
      </c>
      <c r="B4" s="68">
        <f>COUNTIFS('Group Heuristic Evaluation'!H:H, "*A*",'Group Heuristic Evaluation'!D:D, 1)/COUNTA('Group Heuristic Evaluation'!B10:B100)
</f>
        <v>0.1</v>
      </c>
      <c r="C4" s="77">
        <f>COUNTIFS('Group Heuristic Evaluation'!H:H, "*B*",'Group Heuristic Evaluation'!D:D, 1)/COUNTA('Group Heuristic Evaluation'!B10:B100)</f>
        <v>0.1</v>
      </c>
      <c r="D4" s="68">
        <f>COUNTIFS('Group Heuristic Evaluation'!H:H, "*C*",'Group Heuristic Evaluation'!D:D, 1)/COUNTA('Group Heuristic Evaluation'!B10:B100)</f>
        <v>0.2</v>
      </c>
      <c r="E4" s="68">
        <f>COUNTIFS('Group Heuristic Evaluation'!H:H, "*D*",'Group Heuristic Evaluation'!D:D, 1)/COUNTA('Group Heuristic Evaluation'!B10:B100)</f>
        <v>0.1666666667</v>
      </c>
    </row>
    <row r="5">
      <c r="A5" s="76">
        <v>2.0</v>
      </c>
      <c r="B5" s="68">
        <f>COUNTIFS('Group Heuristic Evaluation'!H:H, "*A*",'Group Heuristic Evaluation'!D:D, 2)/COUNTA('Group Heuristic Evaluation'!B10:B100)
</f>
        <v>0.1333333333</v>
      </c>
      <c r="C5" s="77">
        <f>COUNTIFS('Group Heuristic Evaluation'!H:H, "*B*",'Group Heuristic Evaluation'!D:D, 2)/COUNTA('Group Heuristic Evaluation'!B10:B100)</f>
        <v>0.06666666667</v>
      </c>
      <c r="D5" s="68">
        <f>COUNTIFS('Group Heuristic Evaluation'!H:H, "*C*",'Group Heuristic Evaluation'!D:D, 2)/COUNTA('Group Heuristic Evaluation'!B10:B100)</f>
        <v>0.06666666667</v>
      </c>
      <c r="E5" s="68">
        <f>COUNTIFS('Group Heuristic Evaluation'!H:H, "*D*",'Group Heuristic Evaluation'!D:D, 2)/COUNTA('Group Heuristic Evaluation'!B10:B100)</f>
        <v>0.1666666667</v>
      </c>
    </row>
    <row r="6">
      <c r="A6" s="76">
        <v>3.0</v>
      </c>
      <c r="B6" s="68">
        <f>COUNTIFS('Group Heuristic Evaluation'!H:H, "*A*",'Group Heuristic Evaluation'!D:D, 3)/COUNTA('Group Heuristic Evaluation'!B10:B100)
</f>
        <v>0.1333333333</v>
      </c>
      <c r="C6" s="77">
        <f>COUNTIFS('Group Heuristic Evaluation'!H:H, "*B*",'Group Heuristic Evaluation'!D:D, 3)/COUNTA('Group Heuristic Evaluation'!B10:B100)</f>
        <v>0.1333333333</v>
      </c>
      <c r="D6" s="68">
        <f>COUNTIFS('Group Heuristic Evaluation'!H:H, "*C*",'Group Heuristic Evaluation'!D:D, 3)/COUNTA('Group Heuristic Evaluation'!B10:B100)</f>
        <v>0</v>
      </c>
      <c r="E6" s="68">
        <f>COUNTIFS('Group Heuristic Evaluation'!H:H, "*D*",'Group Heuristic Evaluation'!D:D, 3)/COUNTA('Group Heuristic Evaluation'!B10:B100)</f>
        <v>0.1</v>
      </c>
    </row>
    <row r="7">
      <c r="A7" s="76">
        <v>4.0</v>
      </c>
      <c r="B7" s="68">
        <f>COUNTIFS('Group Heuristic Evaluation'!H:H, "*A*",'Group Heuristic Evaluation'!D:D, 4)/COUNTA('Group Heuristic Evaluation'!B10:B100)
</f>
        <v>0.03333333333</v>
      </c>
      <c r="C7" s="77">
        <f>COUNTIFS('Group Heuristic Evaluation'!H:H, "*B*",'Group Heuristic Evaluation'!D:D, 4)/COUNTA('Group Heuristic Evaluation'!B10:B100)</f>
        <v>0.03333333333</v>
      </c>
      <c r="D7" s="68">
        <f>COUNTIFS('Group Heuristic Evaluation'!H:H, "*C*",'Group Heuristic Evaluation'!D:D, 4)/COUNTA('Group Heuristic Evaluation'!B10:B100)</f>
        <v>0.03333333333</v>
      </c>
      <c r="E7" s="68">
        <f>COUNTIFS('Group Heuristic Evaluation'!H:H, "*D*",'Group Heuristic Evaluation'!D:D, 4)/COUNTA('Group Heuristic Evaluation'!B10:B100)</f>
        <v>0.03333333333</v>
      </c>
    </row>
    <row r="8">
      <c r="A8" s="61" t="s">
        <v>152</v>
      </c>
      <c r="B8" s="78">
        <f t="shared" ref="B8:E8" si="1">SUM(B6:B7)</f>
        <v>0.1666666667</v>
      </c>
      <c r="C8" s="78">
        <f t="shared" si="1"/>
        <v>0.1666666667</v>
      </c>
      <c r="D8" s="78">
        <f t="shared" si="1"/>
        <v>0.03333333333</v>
      </c>
      <c r="E8" s="78">
        <f t="shared" si="1"/>
        <v>0.1333333333</v>
      </c>
    </row>
    <row r="9">
      <c r="A9" s="61" t="s">
        <v>153</v>
      </c>
      <c r="B9" s="78">
        <f t="shared" ref="B9:E9" si="2">SUM(B3:B7)</f>
        <v>0.4333333333</v>
      </c>
      <c r="C9" s="78">
        <f t="shared" si="2"/>
        <v>0.4666666667</v>
      </c>
      <c r="D9" s="78">
        <f t="shared" si="2"/>
        <v>0.3666666667</v>
      </c>
      <c r="E9" s="78">
        <f t="shared" si="2"/>
        <v>0.6666666667</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0" max="10" width="38.88"/>
  </cols>
  <sheetData>
    <row r="1">
      <c r="A1" s="79" t="s">
        <v>154</v>
      </c>
      <c r="B1" s="80"/>
      <c r="C1" s="80"/>
      <c r="D1" s="80"/>
      <c r="E1" s="80"/>
      <c r="F1" s="80"/>
      <c r="G1" s="81"/>
    </row>
    <row r="2">
      <c r="A2" s="82" t="s">
        <v>155</v>
      </c>
    </row>
    <row r="8">
      <c r="J8" s="83"/>
      <c r="K8" s="83"/>
      <c r="L8" s="83"/>
      <c r="M8" s="83"/>
      <c r="O8" s="84" t="s">
        <v>156</v>
      </c>
      <c r="P8" s="84"/>
      <c r="Q8" s="84"/>
      <c r="R8" s="84"/>
      <c r="S8" s="84"/>
      <c r="T8" s="84"/>
    </row>
    <row r="9">
      <c r="J9" s="83"/>
      <c r="K9" s="83"/>
      <c r="L9" s="83"/>
      <c r="M9" s="83"/>
      <c r="O9" s="84"/>
      <c r="P9" s="84"/>
      <c r="Q9" s="84"/>
      <c r="R9" s="84"/>
      <c r="S9" s="84"/>
      <c r="T9" s="84"/>
    </row>
    <row r="10">
      <c r="J10" s="83"/>
      <c r="K10" s="83"/>
      <c r="L10" s="83"/>
      <c r="M10" s="83"/>
      <c r="O10" s="84"/>
      <c r="P10" s="84"/>
      <c r="Q10" s="84"/>
      <c r="R10" s="84"/>
      <c r="S10" s="84"/>
      <c r="T10" s="84"/>
    </row>
    <row r="11">
      <c r="J11" s="83"/>
      <c r="K11" s="83"/>
      <c r="L11" s="83"/>
      <c r="M11" s="83"/>
      <c r="O11" s="84"/>
      <c r="P11" s="84"/>
      <c r="Q11" s="84"/>
      <c r="R11" s="84"/>
      <c r="S11" s="84"/>
      <c r="T11" s="84"/>
    </row>
    <row r="12">
      <c r="J12" s="83"/>
      <c r="K12" s="83"/>
      <c r="L12" s="83"/>
      <c r="M12" s="83"/>
      <c r="O12" s="84"/>
      <c r="P12" s="84"/>
      <c r="Q12" s="84"/>
      <c r="R12" s="84"/>
      <c r="S12" s="84"/>
      <c r="T12" s="84"/>
    </row>
    <row r="13">
      <c r="J13" s="83"/>
      <c r="K13" s="83"/>
      <c r="L13" s="83"/>
      <c r="M13" s="83"/>
      <c r="O13" s="84"/>
      <c r="P13" s="84"/>
      <c r="Q13" s="84"/>
      <c r="R13" s="84"/>
      <c r="S13" s="84"/>
      <c r="T13" s="84"/>
    </row>
    <row r="14">
      <c r="J14" s="83"/>
      <c r="K14" s="83"/>
      <c r="L14" s="83"/>
      <c r="M14" s="83"/>
      <c r="O14" s="84"/>
      <c r="P14" s="84"/>
      <c r="Q14" s="84"/>
      <c r="R14" s="84"/>
      <c r="S14" s="84"/>
      <c r="T14" s="84"/>
    </row>
    <row r="15">
      <c r="J15" s="83"/>
      <c r="K15" s="83"/>
      <c r="L15" s="83"/>
      <c r="M15" s="83"/>
      <c r="O15" s="84"/>
      <c r="P15" s="84"/>
      <c r="Q15" s="84"/>
      <c r="R15" s="84"/>
      <c r="S15" s="84"/>
      <c r="T15" s="84"/>
    </row>
    <row r="16">
      <c r="J16" s="83"/>
      <c r="K16" s="83"/>
      <c r="L16" s="83"/>
      <c r="M16" s="83"/>
      <c r="O16" s="84"/>
      <c r="P16" s="84"/>
      <c r="Q16" s="84"/>
      <c r="R16" s="84"/>
      <c r="S16" s="84"/>
      <c r="T16" s="84"/>
    </row>
    <row r="17">
      <c r="J17" s="83"/>
      <c r="K17" s="83"/>
      <c r="L17" s="83"/>
      <c r="M17" s="83"/>
      <c r="O17" s="84"/>
      <c r="P17" s="84"/>
      <c r="Q17" s="84"/>
      <c r="R17" s="84"/>
      <c r="S17" s="84"/>
      <c r="T17" s="84"/>
    </row>
    <row r="18">
      <c r="J18" s="83"/>
      <c r="K18" s="83"/>
      <c r="L18" s="83"/>
      <c r="M18" s="83"/>
      <c r="O18" s="84"/>
      <c r="P18" s="84"/>
      <c r="Q18" s="84"/>
      <c r="R18" s="84"/>
      <c r="S18" s="84"/>
      <c r="T18" s="84"/>
    </row>
    <row r="19">
      <c r="J19" s="83"/>
      <c r="K19" s="83"/>
      <c r="L19" s="83"/>
      <c r="M19" s="83"/>
      <c r="O19" s="84"/>
      <c r="P19" s="84"/>
      <c r="Q19" s="84"/>
      <c r="R19" s="84"/>
      <c r="S19" s="84"/>
      <c r="T19" s="84"/>
    </row>
    <row r="20">
      <c r="J20" s="83"/>
      <c r="K20" s="83"/>
      <c r="L20" s="83"/>
      <c r="M20" s="83"/>
      <c r="O20" s="84"/>
      <c r="P20" s="84"/>
      <c r="Q20" s="84"/>
      <c r="R20" s="84"/>
      <c r="S20" s="84"/>
      <c r="T20" s="84"/>
    </row>
    <row r="25">
      <c r="J25" s="84" t="s">
        <v>156</v>
      </c>
      <c r="O25" s="76" t="s">
        <v>156</v>
      </c>
    </row>
    <row r="30">
      <c r="J30" s="85"/>
      <c r="K30" s="85"/>
      <c r="L30" s="85"/>
      <c r="M30" s="85"/>
    </row>
    <row r="31">
      <c r="J31" s="85"/>
      <c r="K31" s="85"/>
      <c r="L31" s="85"/>
      <c r="M31" s="85"/>
    </row>
    <row r="32">
      <c r="J32" s="85"/>
      <c r="K32" s="85"/>
      <c r="L32" s="85"/>
      <c r="M32" s="85"/>
    </row>
    <row r="33">
      <c r="J33" s="85"/>
      <c r="K33" s="85"/>
      <c r="L33" s="85"/>
      <c r="M33" s="85"/>
    </row>
    <row r="34">
      <c r="J34" s="85"/>
      <c r="K34" s="85"/>
      <c r="L34" s="85"/>
      <c r="M34" s="85"/>
    </row>
    <row r="35">
      <c r="J35" s="85"/>
      <c r="K35" s="85"/>
      <c r="L35" s="85"/>
      <c r="M35" s="85"/>
    </row>
    <row r="36">
      <c r="J36" s="85"/>
      <c r="K36" s="85"/>
      <c r="L36" s="85"/>
      <c r="M36" s="85"/>
    </row>
    <row r="37">
      <c r="J37" s="85"/>
      <c r="K37" s="85"/>
      <c r="L37" s="85"/>
      <c r="M37" s="85"/>
    </row>
    <row r="38">
      <c r="J38" s="85"/>
      <c r="K38" s="85"/>
      <c r="L38" s="85"/>
      <c r="M38" s="85"/>
    </row>
    <row r="39">
      <c r="J39" s="85"/>
      <c r="K39" s="85"/>
      <c r="L39" s="85"/>
      <c r="M39" s="85"/>
    </row>
    <row r="40">
      <c r="J40" s="85"/>
      <c r="K40" s="85"/>
      <c r="L40" s="85"/>
      <c r="M40" s="85"/>
    </row>
    <row r="41">
      <c r="J41" s="85"/>
      <c r="K41" s="85"/>
      <c r="L41" s="85"/>
      <c r="M41" s="85"/>
    </row>
    <row r="42">
      <c r="J42" s="85"/>
      <c r="K42" s="85"/>
      <c r="L42" s="85"/>
      <c r="M42" s="85"/>
    </row>
  </sheetData>
  <mergeCells count="2">
    <mergeCell ref="A1:G1"/>
    <mergeCell ref="A2:G27"/>
  </mergeCells>
  <drawing r:id="rId1"/>
</worksheet>
</file>